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768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Gianluca</author>
  </authors>
  <commentList>
    <comment ref="C16" authorId="0">
      <text>
        <r>
          <rPr>
            <b/>
            <sz val="9"/>
            <color indexed="10"/>
            <rFont val="Tahoma"/>
            <charset val="134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<sst xmlns="http://schemas.openxmlformats.org/spreadsheetml/2006/main" count="378" uniqueCount="138">
  <si>
    <t>CIRCUITO FEDERALE SARANNO FAMOSI 2024</t>
  </si>
  <si>
    <t>CLASSIFICA MASCHILE 13 e 14 ANNI</t>
  </si>
  <si>
    <t>Zona 5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</si>
  <si>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</si>
  <si>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</si>
  <si>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</si>
  <si>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</si>
  <si>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</si>
  <si>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</si>
  <si>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</si>
  <si>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</si>
  <si>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</si>
  <si>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</si>
  <si>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</si>
  <si>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</si>
  <si>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</si>
  <si>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</t>
  </si>
  <si>
    <t>PUNTEGGIO FINALE</t>
  </si>
  <si>
    <t>Media
punti</t>
  </si>
  <si>
    <t>VALDICHIANA</t>
  </si>
  <si>
    <t>MONTELUPO</t>
  </si>
  <si>
    <t>Circolo</t>
  </si>
  <si>
    <t>Elenco</t>
  </si>
  <si>
    <t>Nome Giocatore</t>
  </si>
  <si>
    <t>Anno di nascita</t>
  </si>
  <si>
    <t>Qualifica</t>
  </si>
  <si>
    <t>N° Gare</t>
  </si>
  <si>
    <t>24-mar</t>
  </si>
  <si>
    <t>14-apr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</si>
  <si>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</si>
  <si>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</si>
  <si>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</si>
  <si>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</si>
  <si>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</si>
  <si>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</si>
  <si>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</si>
  <si>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</si>
  <si>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</si>
  <si>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</si>
  <si>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</si>
  <si>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TOTALE</t>
  </si>
  <si>
    <t>Colonna16</t>
  </si>
  <si>
    <t xml:space="preserve"> DATA    </t>
  </si>
  <si>
    <t>Colonna18</t>
  </si>
  <si>
    <t>Colonna1</t>
  </si>
  <si>
    <t>Colonna20</t>
  </si>
  <si>
    <t>FRANCESCHINI ALESSANDRO</t>
  </si>
  <si>
    <t>BG</t>
  </si>
  <si>
    <t>CASTELFALFI</t>
  </si>
  <si>
    <t>TERRENI EDOARDO</t>
  </si>
  <si>
    <t>GALEOTTI ALESSIO</t>
  </si>
  <si>
    <t>POGGIO DE MEDICI</t>
  </si>
  <si>
    <t>COMPOSTO RICCARDO</t>
  </si>
  <si>
    <t>B</t>
  </si>
  <si>
    <t>PAVONIERE</t>
  </si>
  <si>
    <t>CLASSIFICA MASCHILE UNDER 12</t>
  </si>
  <si>
    <t>SIMI TOMMASO</t>
  </si>
  <si>
    <t>ALISEI</t>
  </si>
  <si>
    <t>BERTI EMILIO</t>
  </si>
  <si>
    <t>TIRRENIA</t>
  </si>
  <si>
    <t>GIZZI TOMMASO</t>
  </si>
  <si>
    <t>GIUBILEI FLAVIO</t>
  </si>
  <si>
    <t/>
  </si>
  <si>
    <t>COLOMBI GREGORIO</t>
  </si>
  <si>
    <t>LIVORNO</t>
  </si>
  <si>
    <t>CLASSIFICA FEMMINILE 13 e 14 ANNI</t>
  </si>
  <si>
    <t>CECCARINI ALLEGRA</t>
  </si>
  <si>
    <t>GUERRINI VIOLA</t>
  </si>
  <si>
    <t>UGOLINO</t>
  </si>
  <si>
    <t>TACCONI GINEVRA</t>
  </si>
  <si>
    <t>CASENTINO</t>
  </si>
  <si>
    <t xml:space="preserve">MELI VITTORIA </t>
  </si>
  <si>
    <t>MAIONCHI MATILDE</t>
  </si>
  <si>
    <t>TABELLA PUNTI</t>
  </si>
  <si>
    <t>ELENCO CATEGORIA</t>
  </si>
  <si>
    <t>1</t>
  </si>
  <si>
    <t>100</t>
  </si>
  <si>
    <t>BN</t>
  </si>
  <si>
    <t>DAL 41MO</t>
  </si>
  <si>
    <t>CLASSIFICA FEMMINILE UNDER 12</t>
  </si>
  <si>
    <t>MELI ELISABETTA</t>
  </si>
  <si>
    <t xml:space="preserve">CASTELFALFI </t>
  </si>
  <si>
    <t>Qualifica 
(B-BG-BN)</t>
  </si>
  <si>
    <t>N° GARE</t>
  </si>
  <si>
    <t>Circolo di appartenenza</t>
  </si>
  <si>
    <t>data1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</si>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</sst>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178" formatCode="0.0"/>
    <numFmt numFmtId="179" formatCode="_-* #,##0_-;\-* #,##0_-;_-* &quot;-&quot;??_-;_-@_-"/>
  </numFmts>
  <fonts count="106">
    <font>
      <sz val="11"/>
      <color theme="1"/>
      <name val="Calibri"/>
      <charset val="134"/>
      <scheme val="minor"/>
    </font>
    <font>
      <b/>
      <sz val="16"/>
      <color rgb="FF0070C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name val="Arial"/>
      <charset val="134"/>
    </font>
    <font>
      <sz val="9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sz val="8"/>
      <color rgb="FF0070C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0"/>
      <color rgb="FFFF0000"/>
      <name val="Arial"/>
      <charset val="134"/>
    </font>
    <font>
      <b/>
      <sz val="8"/>
      <color rgb="FF0070C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70C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rgb="FF0070C0"/>
      <name val="Arial"/>
      <charset val="134"/>
    </font>
    <font>
      <b/>
      <sz val="10"/>
      <color theme="0"/>
      <name val="Arial"/>
      <charset val="134"/>
    </font>
    <font>
      <b/>
      <sz val="12"/>
      <color theme="0" tint="-0.0499893185216834"/>
      <name val="Arial"/>
      <charset val="134"/>
    </font>
    <font>
      <b/>
      <sz val="14"/>
      <color rgb="FFFF0000"/>
      <name val="Calibri"/>
      <charset val="134"/>
      <scheme val="minor"/>
    </font>
    <font>
      <b/>
      <sz val="12"/>
      <color indexed="8"/>
      <name val="Arial"/>
      <charset val="134"/>
    </font>
    <font>
      <sz val="12"/>
      <color indexed="8"/>
      <name val="Arial"/>
      <charset val="134"/>
    </font>
    <font>
      <b/>
      <sz val="12"/>
      <color rgb="FF0070C0"/>
      <name val="Arial"/>
      <charset val="134"/>
    </font>
    <font>
      <sz val="12"/>
      <color theme="1"/>
      <name val="Calibri"/>
      <charset val="134"/>
      <scheme val="minor"/>
    </font>
    <font>
      <b/>
      <sz val="10"/>
      <color indexed="8"/>
      <name val="Arial"/>
      <charset val="134"/>
    </font>
    <font>
      <b/>
      <sz val="13"/>
      <color rgb="FF0070C0"/>
      <name val="Arial"/>
      <charset val="134"/>
    </font>
    <font>
      <b/>
      <sz val="12"/>
      <name val="Arial"/>
      <charset val="134"/>
    </font>
    <font>
      <b/>
      <sz val="12"/>
      <color theme="0"/>
      <name val="Arial"/>
      <charset val="134"/>
    </font>
    <font>
      <b/>
      <sz val="16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26"/>
      <color theme="0" tint="-0.0499893185216834"/>
      <name val="Arial Black"/>
      <charset val="134"/>
    </font>
    <font>
      <sz val="11"/>
      <color theme="0" tint="-0.0499893185216834"/>
      <name val="Calibri"/>
      <charset val="134"/>
      <scheme val="minor"/>
    </font>
    <font>
      <b/>
      <sz val="22"/>
      <color theme="0" tint="-0.0499893185216834"/>
      <name val="Arial Black"/>
      <charset val="134"/>
    </font>
    <font>
      <b/>
      <sz val="18"/>
      <color theme="0" tint="-0.0499893185216834"/>
      <name val="Arial Black"/>
      <charset val="134"/>
    </font>
    <font>
      <b/>
      <sz val="20"/>
      <color theme="0" tint="-0.0499893185216834"/>
      <name val="Calibri"/>
      <charset val="134"/>
      <scheme val="minor"/>
    </font>
    <font>
      <b/>
      <sz val="22"/>
      <color theme="0" tint="-0.0499893185216834"/>
      <name val="Arial"/>
      <charset val="134"/>
    </font>
    <font>
      <b/>
      <sz val="14"/>
      <color theme="0" tint="-0.0499893185216834"/>
      <name val="Calibri"/>
      <charset val="134"/>
      <scheme val="minor"/>
    </font>
    <font>
      <b/>
      <sz val="14"/>
      <color rgb="FF0070C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rgb="FF0070C0"/>
      <name val="Arial"/>
      <charset val="134"/>
    </font>
    <font>
      <b/>
      <sz val="12"/>
      <color theme="1"/>
      <name val="Arial Black"/>
      <charset val="134"/>
    </font>
    <font>
      <b/>
      <sz val="14"/>
      <color theme="0"/>
      <name val="Arial"/>
      <charset val="134"/>
    </font>
    <font>
      <b/>
      <sz val="11"/>
      <color theme="1"/>
      <name val="Arial"/>
      <charset val="134"/>
    </font>
    <font>
      <b/>
      <sz val="11"/>
      <color theme="0" tint="-0.149998474074526"/>
      <name val="Arial"/>
      <charset val="134"/>
    </font>
    <font>
      <b/>
      <sz val="12"/>
      <color rgb="FFFFC000"/>
      <name val="Arial"/>
      <charset val="134"/>
    </font>
    <font>
      <b/>
      <sz val="12"/>
      <color rgb="FFFF0000"/>
      <name val="Arial"/>
      <charset val="134"/>
    </font>
    <font>
      <sz val="11"/>
      <color theme="0" tint="-0.149998474074526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b/>
      <sz val="16"/>
      <color theme="0" tint="-0.0499893185216834"/>
      <name val="Arial"/>
      <charset val="134"/>
    </font>
    <font>
      <sz val="8"/>
      <color rgb="FFFF0000"/>
      <name val="Calibri"/>
      <charset val="134"/>
      <scheme val="minor"/>
    </font>
    <font>
      <b/>
      <sz val="16"/>
      <color rgb="FFFF0000"/>
      <name val="Arial"/>
      <charset val="134"/>
    </font>
    <font>
      <sz val="8"/>
      <color rgb="FF0070C0"/>
      <name val="Arial"/>
      <charset val="134"/>
    </font>
    <font>
      <b/>
      <sz val="14"/>
      <color rgb="FF002060"/>
      <name val="Arial"/>
      <charset val="134"/>
    </font>
    <font>
      <b/>
      <sz val="9"/>
      <color indexed="8"/>
      <name val="Arial"/>
      <charset val="134"/>
    </font>
    <font>
      <sz val="8"/>
      <color indexed="8"/>
      <name val="Arial"/>
      <charset val="134"/>
    </font>
    <font>
      <b/>
      <sz val="8"/>
      <color rgb="FFFF0000"/>
      <name val="Calibri"/>
      <charset val="134"/>
      <scheme val="minor"/>
    </font>
    <font>
      <sz val="9"/>
      <color indexed="8"/>
      <name val="Arial"/>
      <charset val="134"/>
    </font>
    <font>
      <b/>
      <sz val="9.85"/>
      <color indexed="8"/>
      <name val="Arial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0" tint="-0.0499893185216834"/>
      <name val="Calibri"/>
      <charset val="134"/>
      <scheme val="minor"/>
    </font>
    <font>
      <b/>
      <sz val="10"/>
      <color indexed="8"/>
      <name val="Arial"/>
      <charset val="134"/>
    </font>
    <font>
      <b/>
      <sz val="13"/>
      <color rgb="FF0070C0"/>
      <name val="Arial"/>
      <charset val="134"/>
    </font>
    <font>
      <sz val="11"/>
      <color theme="0" tint="-0.149998474074526"/>
      <name val="Arial"/>
      <charset val="134"/>
    </font>
    <font>
      <sz val="11"/>
      <color theme="1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  <scheme val="minor"/>
    </font>
    <font>
      <b/>
      <sz val="8"/>
      <color indexed="8"/>
      <name val="Arial"/>
      <charset val="134"/>
    </font>
    <font>
      <sz val="11"/>
      <color rgb="FFFF0000"/>
      <name val="Calibri"/>
      <charset val="134"/>
      <scheme val="minor"/>
    </font>
    <font>
      <b/>
      <sz val="20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indexed="8"/>
      <name val="Arial"/>
      <charset val="134"/>
    </font>
    <font>
      <b/>
      <sz val="26"/>
      <color theme="1"/>
      <name val="Calibri"/>
      <charset val="134"/>
      <scheme val="minor"/>
    </font>
    <font>
      <b/>
      <sz val="11"/>
      <color theme="1"/>
      <name val="Arial Black"/>
      <charset val="134"/>
    </font>
    <font>
      <sz val="8"/>
      <color theme="0" tint="-0.149998474074526"/>
      <name val="Arial"/>
      <charset val="134"/>
    </font>
    <font>
      <sz val="8"/>
      <color theme="0" tint="-0.149998474074526"/>
      <name val="Arial"/>
      <charset val="134"/>
    </font>
    <font>
      <b/>
      <sz val="10"/>
      <color rgb="FFFF0000"/>
      <name val="Calibri"/>
      <charset val="134"/>
      <scheme val="minor"/>
    </font>
    <font>
      <b/>
      <sz val="8"/>
      <color rgb="FFFF0000"/>
      <name val="Arial"/>
      <charset val="134"/>
    </font>
    <font>
      <b/>
      <sz val="9"/>
      <color rgb="FFFF0000"/>
      <name val="Arial"/>
      <charset val="134"/>
    </font>
    <font>
      <b/>
      <sz val="12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color indexed="10"/>
      <name val="Tahoma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0.399975585192419"/>
      </left>
      <right/>
      <top/>
      <bottom style="thin">
        <color theme="4" tint="0.399975585192419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176" fontId="8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85" fillId="0" borderId="0" applyFont="0" applyFill="0" applyBorder="0" applyAlignment="0" applyProtection="0">
      <alignment vertical="center"/>
    </xf>
    <xf numFmtId="177" fontId="85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5" fillId="19" borderId="29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92" fillId="0" borderId="30" applyNumberFormat="0" applyFill="0" applyAlignment="0" applyProtection="0">
      <alignment vertical="center"/>
    </xf>
    <xf numFmtId="0" fontId="93" fillId="0" borderId="31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20" borderId="32" applyNumberFormat="0" applyAlignment="0" applyProtection="0">
      <alignment vertical="center"/>
    </xf>
    <xf numFmtId="0" fontId="95" fillId="21" borderId="33" applyNumberFormat="0" applyAlignment="0" applyProtection="0">
      <alignment vertical="center"/>
    </xf>
    <xf numFmtId="0" fontId="96" fillId="21" borderId="32" applyNumberFormat="0" applyAlignment="0" applyProtection="0">
      <alignment vertical="center"/>
    </xf>
    <xf numFmtId="0" fontId="97" fillId="22" borderId="34" applyNumberFormat="0" applyAlignment="0" applyProtection="0">
      <alignment vertical="center"/>
    </xf>
    <xf numFmtId="0" fontId="98" fillId="0" borderId="35" applyNumberFormat="0" applyFill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101" fillId="24" borderId="0" applyNumberFormat="0" applyBorder="0" applyAlignment="0" applyProtection="0">
      <alignment vertical="center"/>
    </xf>
    <xf numFmtId="0" fontId="102" fillId="25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103" fillId="29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104" fillId="31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03" fillId="33" borderId="0" applyNumberFormat="0" applyBorder="0" applyAlignment="0" applyProtection="0">
      <alignment vertical="center"/>
    </xf>
    <xf numFmtId="0" fontId="103" fillId="34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6" borderId="0" applyNumberFormat="0" applyBorder="0" applyAlignment="0" applyProtection="0">
      <alignment vertical="center"/>
    </xf>
    <xf numFmtId="0" fontId="103" fillId="37" borderId="0" applyNumberFormat="0" applyBorder="0" applyAlignment="0" applyProtection="0">
      <alignment vertical="center"/>
    </xf>
    <xf numFmtId="0" fontId="103" fillId="38" borderId="0" applyNumberFormat="0" applyBorder="0" applyAlignment="0" applyProtection="0">
      <alignment vertical="center"/>
    </xf>
    <xf numFmtId="0" fontId="104" fillId="39" borderId="0" applyNumberFormat="0" applyBorder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103" fillId="41" borderId="0" applyNumberFormat="0" applyBorder="0" applyAlignment="0" applyProtection="0">
      <alignment vertical="center"/>
    </xf>
    <xf numFmtId="0" fontId="103" fillId="42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103" fillId="45" borderId="0" applyNumberFormat="0" applyBorder="0" applyAlignment="0" applyProtection="0">
      <alignment vertical="center"/>
    </xf>
    <xf numFmtId="0" fontId="103" fillId="46" borderId="0" applyNumberFormat="0" applyBorder="0" applyAlignment="0" applyProtection="0">
      <alignment vertical="center"/>
    </xf>
    <xf numFmtId="0" fontId="104" fillId="47" borderId="0" applyNumberFormat="0" applyBorder="0" applyAlignment="0" applyProtection="0">
      <alignment vertical="center"/>
    </xf>
    <xf numFmtId="0" fontId="104" fillId="48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</cellStyleXfs>
  <cellXfs count="2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3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78" fontId="2" fillId="0" borderId="6" xfId="0" applyNumberFormat="1" applyFont="1" applyBorder="1" applyAlignment="1">
      <alignment horizontal="center"/>
    </xf>
    <xf numFmtId="9" fontId="7" fillId="0" borderId="0" xfId="3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16" fontId="17" fillId="3" borderId="9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16" fontId="26" fillId="8" borderId="9" xfId="0" applyNumberFormat="1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16" fontId="28" fillId="8" borderId="0" xfId="0" applyNumberFormat="1" applyFont="1" applyFill="1" applyAlignment="1">
      <alignment horizontal="center" vertical="center" wrapText="1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3" fillId="12" borderId="0" xfId="0" applyFont="1" applyFill="1" applyAlignment="1">
      <alignment vertical="center" wrapText="1"/>
    </xf>
    <xf numFmtId="0" fontId="34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5" fillId="12" borderId="0" xfId="0" applyFont="1" applyFill="1" applyAlignment="1">
      <alignment vertical="center"/>
    </xf>
    <xf numFmtId="0" fontId="36" fillId="13" borderId="14" xfId="0" applyFont="1" applyFill="1" applyBorder="1" applyAlignment="1">
      <alignment horizontal="center" vertical="center" wrapText="1"/>
    </xf>
    <xf numFmtId="0" fontId="36" fillId="13" borderId="11" xfId="0" applyFont="1" applyFill="1" applyBorder="1" applyAlignment="1">
      <alignment horizontal="center" vertical="center" wrapText="1"/>
    </xf>
    <xf numFmtId="0" fontId="36" fillId="13" borderId="15" xfId="0" applyFont="1" applyFill="1" applyBorder="1" applyAlignment="1">
      <alignment horizontal="center" vertical="center" wrapText="1"/>
    </xf>
    <xf numFmtId="0" fontId="37" fillId="12" borderId="0" xfId="0" applyFont="1" applyFill="1" applyAlignment="1">
      <alignment vertical="center"/>
    </xf>
    <xf numFmtId="0" fontId="38" fillId="13" borderId="14" xfId="0" applyFont="1" applyFill="1" applyBorder="1" applyAlignment="1">
      <alignment horizontal="center" vertical="center"/>
    </xf>
    <xf numFmtId="0" fontId="38" fillId="13" borderId="11" xfId="0" applyFont="1" applyFill="1" applyBorder="1" applyAlignment="1">
      <alignment horizontal="center" vertical="center"/>
    </xf>
    <xf numFmtId="0" fontId="36" fillId="13" borderId="16" xfId="0" applyFont="1" applyFill="1" applyBorder="1" applyAlignment="1">
      <alignment horizontal="center" vertical="center" wrapText="1"/>
    </xf>
    <xf numFmtId="0" fontId="36" fillId="13" borderId="17" xfId="0" applyFont="1" applyFill="1" applyBorder="1" applyAlignment="1">
      <alignment horizontal="center" vertical="center" wrapText="1"/>
    </xf>
    <xf numFmtId="0" fontId="36" fillId="13" borderId="18" xfId="0" applyFont="1" applyFill="1" applyBorder="1" applyAlignment="1">
      <alignment horizontal="center" vertical="center" wrapText="1"/>
    </xf>
    <xf numFmtId="0" fontId="39" fillId="12" borderId="0" xfId="0" applyFont="1" applyFill="1" applyAlignment="1">
      <alignment vertical="center"/>
    </xf>
    <xf numFmtId="0" fontId="38" fillId="13" borderId="16" xfId="0" applyFont="1" applyFill="1" applyBorder="1" applyAlignment="1">
      <alignment horizontal="center" vertical="center"/>
    </xf>
    <xf numFmtId="0" fontId="38" fillId="13" borderId="17" xfId="0" applyFont="1" applyFill="1" applyBorder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16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40" fillId="2" borderId="9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44" fillId="8" borderId="21" xfId="0" applyFont="1" applyFill="1" applyBorder="1" applyAlignment="1">
      <alignment horizontal="center" vertical="center" wrapText="1"/>
    </xf>
    <xf numFmtId="0" fontId="45" fillId="9" borderId="21" xfId="0" applyFont="1" applyFill="1" applyBorder="1" applyAlignment="1">
      <alignment horizontal="center" vertical="center" wrapText="1"/>
    </xf>
    <xf numFmtId="16" fontId="17" fillId="3" borderId="22" xfId="0" applyNumberFormat="1" applyFont="1" applyFill="1" applyBorder="1" applyAlignment="1" applyProtection="1">
      <alignment horizontal="center" vertical="center"/>
      <protection locked="0"/>
    </xf>
    <xf numFmtId="0" fontId="27" fillId="13" borderId="19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44" fillId="8" borderId="19" xfId="0" applyFont="1" applyFill="1" applyBorder="1" applyAlignment="1">
      <alignment horizontal="center" vertical="center" wrapText="1"/>
    </xf>
    <xf numFmtId="16" fontId="17" fillId="3" borderId="16" xfId="0" applyNumberFormat="1" applyFont="1" applyFill="1" applyBorder="1" applyAlignment="1" applyProtection="1">
      <alignment horizontal="center" vertical="center"/>
      <protection locked="0"/>
    </xf>
    <xf numFmtId="0" fontId="47" fillId="2" borderId="18" xfId="0" applyFont="1" applyFill="1" applyBorder="1" applyAlignment="1">
      <alignment horizontal="center" vertical="center"/>
    </xf>
    <xf numFmtId="16" fontId="48" fillId="8" borderId="19" xfId="0" applyNumberFormat="1" applyFont="1" applyFill="1" applyBorder="1" applyAlignment="1" applyProtection="1">
      <alignment horizontal="center" vertical="center"/>
      <protection locked="0"/>
    </xf>
    <xf numFmtId="0" fontId="47" fillId="2" borderId="19" xfId="0" applyFont="1" applyFill="1" applyBorder="1" applyAlignment="1">
      <alignment horizontal="center" vertical="center"/>
    </xf>
    <xf numFmtId="0" fontId="49" fillId="9" borderId="19" xfId="0" applyFont="1" applyFill="1" applyBorder="1" applyAlignment="1">
      <alignment vertical="center" wrapText="1"/>
    </xf>
    <xf numFmtId="1" fontId="25" fillId="0" borderId="19" xfId="0" applyNumberFormat="1" applyFont="1" applyBorder="1" applyAlignment="1">
      <alignment horizontal="center" vertical="center"/>
    </xf>
    <xf numFmtId="2" fontId="50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51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0" fontId="33" fillId="11" borderId="23" xfId="0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38" fillId="13" borderId="18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0" fontId="52" fillId="10" borderId="9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0" fillId="0" borderId="0" xfId="0" applyAlignme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9" fontId="32" fillId="0" borderId="0" xfId="3" applyFont="1" applyFill="1" applyAlignment="1" applyProtection="1">
      <alignment horizontal="center" vertical="center"/>
    </xf>
    <xf numFmtId="0" fontId="58" fillId="0" borderId="0" xfId="0" applyFont="1" applyAlignment="1">
      <alignment horizontal="center" vertical="center"/>
    </xf>
    <xf numFmtId="9" fontId="54" fillId="0" borderId="0" xfId="3" applyFont="1" applyFill="1" applyAlignment="1" applyProtection="1">
      <alignment horizontal="left" vertical="center"/>
    </xf>
    <xf numFmtId="0" fontId="59" fillId="0" borderId="0" xfId="0" applyFont="1" applyAlignment="1">
      <alignment vertical="center" wrapText="1" readingOrder="1"/>
    </xf>
    <xf numFmtId="9" fontId="14" fillId="0" borderId="0" xfId="3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60" fillId="0" borderId="0" xfId="3" applyFont="1" applyFill="1" applyAlignment="1" applyProtection="1">
      <alignment horizontal="center" vertical="center"/>
    </xf>
    <xf numFmtId="0" fontId="59" fillId="0" borderId="0" xfId="0" applyFont="1" applyAlignment="1">
      <alignment horizontal="center" vertical="center" wrapText="1" readingOrder="1"/>
    </xf>
    <xf numFmtId="0" fontId="61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3" fillId="0" borderId="0" xfId="0" applyFont="1"/>
    <xf numFmtId="0" fontId="64" fillId="14" borderId="24" xfId="0" applyFont="1" applyFill="1" applyBorder="1" applyAlignment="1">
      <alignment horizontal="right" vertical="center"/>
    </xf>
    <xf numFmtId="0" fontId="64" fillId="14" borderId="25" xfId="0" applyFont="1" applyFill="1" applyBorder="1" applyAlignment="1">
      <alignment horizontal="right" vertical="center"/>
    </xf>
    <xf numFmtId="0" fontId="64" fillId="0" borderId="26" xfId="0" applyFont="1" applyBorder="1" applyAlignment="1">
      <alignment horizontal="right" vertical="center"/>
    </xf>
    <xf numFmtId="0" fontId="64" fillId="0" borderId="27" xfId="0" applyFont="1" applyBorder="1" applyAlignment="1">
      <alignment horizontal="right" vertical="center"/>
    </xf>
    <xf numFmtId="0" fontId="64" fillId="14" borderId="26" xfId="0" applyFont="1" applyFill="1" applyBorder="1" applyAlignment="1">
      <alignment horizontal="right" vertical="center"/>
    </xf>
    <xf numFmtId="0" fontId="64" fillId="14" borderId="27" xfId="0" applyFont="1" applyFill="1" applyBorder="1" applyAlignment="1">
      <alignment horizontal="right" vertical="center"/>
    </xf>
    <xf numFmtId="1" fontId="64" fillId="14" borderId="27" xfId="0" applyNumberFormat="1" applyFont="1" applyFill="1" applyBorder="1" applyAlignment="1">
      <alignment horizontal="right" vertical="center"/>
    </xf>
    <xf numFmtId="1" fontId="64" fillId="0" borderId="27" xfId="0" applyNumberFormat="1" applyFont="1" applyBorder="1" applyAlignment="1">
      <alignment horizontal="right" vertical="center"/>
    </xf>
    <xf numFmtId="0" fontId="64" fillId="0" borderId="26" xfId="0" applyFont="1" applyBorder="1" applyAlignment="1">
      <alignment vertical="center"/>
    </xf>
    <xf numFmtId="0" fontId="64" fillId="14" borderId="0" xfId="0" applyFont="1" applyFill="1" applyAlignment="1">
      <alignment horizontal="right" vertical="center"/>
    </xf>
    <xf numFmtId="1" fontId="63" fillId="0" borderId="0" xfId="0" applyNumberFormat="1" applyFont="1"/>
    <xf numFmtId="10" fontId="63" fillId="0" borderId="0" xfId="3" applyNumberFormat="1" applyFont="1"/>
    <xf numFmtId="179" fontId="63" fillId="0" borderId="0" xfId="1" applyNumberFormat="1" applyFont="1"/>
    <xf numFmtId="1" fontId="63" fillId="0" borderId="0" xfId="1" applyNumberFormat="1" applyFont="1"/>
    <xf numFmtId="0" fontId="65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66" fillId="0" borderId="9" xfId="0" applyFont="1" applyBorder="1" applyAlignment="1" applyProtection="1">
      <alignment horizontal="center" vertical="center"/>
      <protection locked="0"/>
    </xf>
    <xf numFmtId="0" fontId="66" fillId="0" borderId="2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24" fillId="15" borderId="9" xfId="0" applyFont="1" applyFill="1" applyBorder="1" applyAlignment="1" applyProtection="1">
      <alignment horizontal="center" vertical="center"/>
      <protection locked="0"/>
    </xf>
    <xf numFmtId="0" fontId="66" fillId="15" borderId="9" xfId="0" applyFont="1" applyFill="1" applyBorder="1" applyAlignment="1" applyProtection="1">
      <alignment horizontal="center" vertical="center"/>
      <protection locked="0"/>
    </xf>
    <xf numFmtId="1" fontId="25" fillId="0" borderId="9" xfId="0" applyNumberFormat="1" applyFont="1" applyBorder="1" applyAlignment="1">
      <alignment horizontal="center" vertical="center"/>
    </xf>
    <xf numFmtId="1" fontId="67" fillId="0" borderId="9" xfId="0" applyNumberFormat="1" applyFont="1" applyBorder="1" applyAlignment="1">
      <alignment horizontal="center" vertical="center"/>
    </xf>
    <xf numFmtId="2" fontId="68" fillId="2" borderId="9" xfId="0" applyNumberFormat="1" applyFont="1" applyFill="1" applyBorder="1" applyAlignment="1">
      <alignment vertical="center"/>
    </xf>
    <xf numFmtId="1" fontId="66" fillId="0" borderId="9" xfId="0" applyNumberFormat="1" applyFont="1" applyBorder="1" applyAlignment="1" applyProtection="1">
      <alignment horizontal="center" vertical="center"/>
      <protection locked="0"/>
    </xf>
    <xf numFmtId="1" fontId="69" fillId="2" borderId="9" xfId="0" applyNumberFormat="1" applyFont="1" applyFill="1" applyBorder="1" applyAlignment="1">
      <alignment vertical="center"/>
    </xf>
    <xf numFmtId="1" fontId="70" fillId="0" borderId="9" xfId="0" applyNumberFormat="1" applyFont="1" applyBorder="1" applyAlignment="1">
      <alignment horizontal="center" vertical="center"/>
    </xf>
    <xf numFmtId="1" fontId="71" fillId="2" borderId="9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9" fontId="60" fillId="0" borderId="0" xfId="3" applyFont="1" applyFill="1" applyAlignment="1" applyProtection="1">
      <alignment horizontal="left" vertical="center"/>
    </xf>
    <xf numFmtId="0" fontId="72" fillId="0" borderId="0" xfId="0" applyFont="1" applyAlignment="1">
      <alignment vertical="center" wrapText="1" readingOrder="1"/>
    </xf>
    <xf numFmtId="0" fontId="73" fillId="0" borderId="0" xfId="0" applyFont="1" applyAlignment="1">
      <alignment vertical="center"/>
    </xf>
    <xf numFmtId="0" fontId="36" fillId="16" borderId="14" xfId="0" applyFont="1" applyFill="1" applyBorder="1" applyAlignment="1">
      <alignment horizontal="center" vertical="center" wrapText="1"/>
    </xf>
    <xf numFmtId="0" fontId="36" fillId="16" borderId="11" xfId="0" applyFont="1" applyFill="1" applyBorder="1" applyAlignment="1">
      <alignment horizontal="center" vertical="center" wrapText="1"/>
    </xf>
    <xf numFmtId="0" fontId="36" fillId="16" borderId="15" xfId="0" applyFont="1" applyFill="1" applyBorder="1" applyAlignment="1">
      <alignment horizontal="center" vertical="center" wrapText="1"/>
    </xf>
    <xf numFmtId="0" fontId="74" fillId="12" borderId="0" xfId="0" applyFont="1" applyFill="1" applyAlignment="1">
      <alignment vertical="center"/>
    </xf>
    <xf numFmtId="0" fontId="38" fillId="17" borderId="14" xfId="0" applyFont="1" applyFill="1" applyBorder="1" applyAlignment="1">
      <alignment horizontal="center" vertical="center"/>
    </xf>
    <xf numFmtId="0" fontId="38" fillId="17" borderId="11" xfId="0" applyFont="1" applyFill="1" applyBorder="1" applyAlignment="1">
      <alignment horizontal="center" vertical="center"/>
    </xf>
    <xf numFmtId="0" fontId="36" fillId="16" borderId="16" xfId="0" applyFont="1" applyFill="1" applyBorder="1" applyAlignment="1">
      <alignment horizontal="center" vertical="center" wrapText="1"/>
    </xf>
    <xf numFmtId="0" fontId="36" fillId="16" borderId="17" xfId="0" applyFont="1" applyFill="1" applyBorder="1" applyAlignment="1">
      <alignment horizontal="center" vertical="center" wrapText="1"/>
    </xf>
    <xf numFmtId="0" fontId="36" fillId="16" borderId="18" xfId="0" applyFont="1" applyFill="1" applyBorder="1" applyAlignment="1">
      <alignment horizontal="center" vertical="center" wrapText="1"/>
    </xf>
    <xf numFmtId="0" fontId="40" fillId="12" borderId="0" xfId="0" applyFont="1" applyFill="1" applyAlignment="1">
      <alignment vertical="center"/>
    </xf>
    <xf numFmtId="0" fontId="38" fillId="17" borderId="16" xfId="0" applyFont="1" applyFill="1" applyBorder="1" applyAlignment="1">
      <alignment horizontal="center" vertical="center"/>
    </xf>
    <xf numFmtId="0" fontId="38" fillId="17" borderId="17" xfId="0" applyFont="1" applyFill="1" applyBorder="1" applyAlignment="1">
      <alignment horizontal="center" vertical="center"/>
    </xf>
    <xf numFmtId="0" fontId="27" fillId="18" borderId="19" xfId="0" applyFont="1" applyFill="1" applyBorder="1" applyAlignment="1">
      <alignment horizontal="center" vertical="center"/>
    </xf>
    <xf numFmtId="16" fontId="27" fillId="18" borderId="20" xfId="0" applyNumberFormat="1" applyFont="1" applyFill="1" applyBorder="1" applyAlignment="1" applyProtection="1">
      <alignment horizontal="center" vertical="center"/>
      <protection locked="0"/>
    </xf>
    <xf numFmtId="16" fontId="27" fillId="18" borderId="9" xfId="0" applyNumberFormat="1" applyFont="1" applyFill="1" applyBorder="1" applyAlignment="1" applyProtection="1">
      <alignment horizontal="center" vertical="center"/>
      <protection locked="0"/>
    </xf>
    <xf numFmtId="16" fontId="27" fillId="18" borderId="19" xfId="0" applyNumberFormat="1" applyFont="1" applyFill="1" applyBorder="1" applyAlignment="1" applyProtection="1">
      <alignment horizontal="center" vertical="center"/>
      <protection locked="0"/>
    </xf>
    <xf numFmtId="0" fontId="75" fillId="0" borderId="9" xfId="0" applyFont="1" applyBorder="1" applyAlignment="1">
      <alignment horizontal="center" vertical="center"/>
    </xf>
    <xf numFmtId="0" fontId="75" fillId="0" borderId="28" xfId="0" applyFont="1" applyBorder="1" applyAlignment="1">
      <alignment horizontal="center" vertical="center"/>
    </xf>
    <xf numFmtId="0" fontId="76" fillId="0" borderId="9" xfId="0" applyFont="1" applyBorder="1" applyAlignment="1" applyProtection="1">
      <alignment horizontal="center" vertical="center"/>
      <protection locked="0"/>
    </xf>
    <xf numFmtId="0" fontId="77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27" fillId="18" borderId="16" xfId="0" applyFont="1" applyFill="1" applyBorder="1" applyAlignment="1">
      <alignment horizontal="center" vertical="center"/>
    </xf>
    <xf numFmtId="0" fontId="27" fillId="17" borderId="21" xfId="0" applyFont="1" applyFill="1" applyBorder="1" applyAlignment="1">
      <alignment horizontal="center" vertical="center" wrapText="1"/>
    </xf>
    <xf numFmtId="0" fontId="78" fillId="8" borderId="21" xfId="0" applyFont="1" applyFill="1" applyBorder="1" applyAlignment="1">
      <alignment horizontal="center" vertical="center" wrapText="1"/>
    </xf>
    <xf numFmtId="16" fontId="27" fillId="18" borderId="22" xfId="0" applyNumberFormat="1" applyFont="1" applyFill="1" applyBorder="1" applyAlignment="1" applyProtection="1">
      <alignment horizontal="center" vertical="center"/>
      <protection locked="0"/>
    </xf>
    <xf numFmtId="0" fontId="27" fillId="17" borderId="19" xfId="0" applyFont="1" applyFill="1" applyBorder="1" applyAlignment="1">
      <alignment horizontal="center" vertical="center" wrapText="1"/>
    </xf>
    <xf numFmtId="0" fontId="78" fillId="8" borderId="19" xfId="0" applyFont="1" applyFill="1" applyBorder="1" applyAlignment="1">
      <alignment horizontal="center" vertical="center" wrapText="1"/>
    </xf>
    <xf numFmtId="16" fontId="27" fillId="18" borderId="16" xfId="0" applyNumberFormat="1" applyFont="1" applyFill="1" applyBorder="1" applyAlignment="1" applyProtection="1">
      <alignment horizontal="center" vertical="center"/>
      <protection locked="0"/>
    </xf>
    <xf numFmtId="0" fontId="18" fillId="17" borderId="9" xfId="0" applyFont="1" applyFill="1" applyBorder="1" applyAlignment="1">
      <alignment horizontal="center" vertical="center" wrapText="1"/>
    </xf>
    <xf numFmtId="2" fontId="79" fillId="2" borderId="9" xfId="0" applyNumberFormat="1" applyFont="1" applyFill="1" applyBorder="1" applyAlignment="1">
      <alignment vertical="center"/>
    </xf>
    <xf numFmtId="2" fontId="80" fillId="2" borderId="9" xfId="0" applyNumberFormat="1" applyFont="1" applyFill="1" applyBorder="1" applyAlignment="1">
      <alignment vertical="center"/>
    </xf>
    <xf numFmtId="0" fontId="38" fillId="17" borderId="15" xfId="0" applyFont="1" applyFill="1" applyBorder="1" applyAlignment="1">
      <alignment horizontal="center" vertical="center"/>
    </xf>
    <xf numFmtId="0" fontId="38" fillId="17" borderId="18" xfId="0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82" fillId="0" borderId="0" xfId="0" applyFont="1" applyAlignment="1">
      <alignment vertical="center" wrapText="1" readingOrder="1"/>
    </xf>
    <xf numFmtId="0" fontId="84" fillId="0" borderId="9" xfId="0" applyFont="1" applyBorder="1" applyAlignment="1">
      <alignment horizontal="center" vertical="center"/>
    </xf>
    <xf numFmtId="16" fontId="27" fillId="18" borderId="9" xfId="0" applyNumberFormat="1" applyFont="1" applyFill="1" applyBorder="1" applyAlignment="1" applyProtection="1" quotePrefix="1">
      <alignment horizontal="center" vertical="center"/>
      <protection locked="0"/>
    </xf>
    <xf numFmtId="16" fontId="27" fillId="18" borderId="19" xfId="0" applyNumberFormat="1" applyFont="1" applyFill="1" applyBorder="1" applyAlignment="1" applyProtection="1" quotePrefix="1">
      <alignment horizontal="center" vertical="center"/>
      <protection locked="0"/>
    </xf>
    <xf numFmtId="16" fontId="27" fillId="18" borderId="16" xfId="0" applyNumberFormat="1" applyFont="1" applyFill="1" applyBorder="1" applyAlignment="1" applyProtection="1" quotePrefix="1">
      <alignment horizontal="center" vertical="center"/>
      <protection locked="0"/>
    </xf>
    <xf numFmtId="16" fontId="48" fillId="8" borderId="19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9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19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16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9" xfId="0" applyNumberFormat="1" applyFont="1" applyFill="1" applyBorder="1" applyAlignment="1" quotePrefix="1">
      <alignment horizontal="center" vertical="center"/>
    </xf>
    <xf numFmtId="16" fontId="26" fillId="8" borderId="9" xfId="0" applyNumberFormat="1" applyFont="1" applyFill="1" applyBorder="1" applyAlignment="1" quotePrefix="1">
      <alignment horizontal="center" vertical="center" wrapText="1"/>
    </xf>
    <xf numFmtId="16" fontId="28" fillId="8" borderId="11" xfId="0" applyNumberFormat="1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05">
    <dxf>
      <font>
        <name val="Calibri"/>
        <scheme val="none"/>
        <b val="1"/>
        <i val="0"/>
        <strike val="0"/>
        <u val="none"/>
        <sz val="12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name val="Calibri"/>
        <scheme val="none"/>
        <b val="1"/>
        <i val="0"/>
        <strike val="0"/>
        <u val="none"/>
        <sz val="12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</dxf>
    <dxf>
      <alignment horizontal="center" vertical="center"/>
    </dxf>
  </dxfs>
  <tableStyles count="0" defaultTableStyle="TableStyleMedium9" defaultPivotStyle="PivotStyleLight16"/>
  <colors>
    <mruColors>
      <color rgb="00EF1984"/>
      <color rgb="00DE10C1"/>
      <color rgb="00F183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4200" y="82550"/>
          <a:ext cx="36703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3630" y="0"/>
          <a:ext cx="899795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69640" y="96520"/>
          <a:ext cx="636270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2515" y="13335"/>
          <a:ext cx="911860" cy="897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86760" y="130175"/>
          <a:ext cx="692785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413018</xdr:colOff>
      <xdr:row>0</xdr:row>
      <xdr:rowOff>900793</xdr:rowOff>
    </xdr:to>
    <xdr:pic>
      <xdr:nvPicPr>
        <xdr:cNvPr id="11" name="Immagine 10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5735" y="0"/>
          <a:ext cx="935990" cy="9004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77360" y="96520"/>
          <a:ext cx="686435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227136</xdr:colOff>
      <xdr:row>0</xdr:row>
      <xdr:rowOff>900793</xdr:rowOff>
    </xdr:to>
    <xdr:pic>
      <xdr:nvPicPr>
        <xdr:cNvPr id="3" name="Immagine 2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1880" y="0"/>
          <a:ext cx="921385" cy="9004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2" totalsRowShown="0">
  <autoFilter ref="A8:Y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0">
      <calculatedColumnFormula>IF(A8="Elenco",1,IF(B9="","",A8+1))</calculatedColumnFormula>
    </tableColumn>
    <tableColumn id="3" name="Nome Giocatore" dataDxfId="1"/>
    <tableColumn id="4" name="Anno di nascita" dataDxfId="2"/>
    <tableColumn id="5" name="Qualifica" dataDxfId="3"/>
    <tableColumn id="6" name="N° Gare" dataDxfId="4">
      <calculatedColumnFormula>IF(COUNTA(G9:S9)+COUNTA(V9:V9)=0,"",COUNTA(G9:S9)+COUNTA(V9:V9))</calculatedColumnFormula>
    </tableColumn>
    <tableColumn id="7" name="Circolo" dataDxfId="5"/>
    <tableColumn id="8" name="24-mar" dataDxfId="6"/>
    <tableColumn id="9" name="14-apr" dataDxfId="7"/>
    <tableColumn id="10" name="data3" dataDxfId="8"/>
    <tableColumn id="11" name="data4" dataDxfId="9"/>
    <tableColumn id="12" name="data5" dataDxfId="10"/>
    <tableColumn id="13" name="data6" dataDxfId="11"/>
    <tableColumn id="14" name="data7" dataDxfId="12"/>
    <tableColumn id="15" name="data8" dataDxfId="13"/>
    <tableColumn id="16" name="data9" dataDxfId="14"/>
    <tableColumn id="17" name="data10" dataDxfId="15"/>
    <tableColumn id="18" name="data11" dataDxfId="16"/>
    <tableColumn id="19" name="data12" dataDxfId="17"/>
    <tableColumn id="20" name="data13" dataDxfId="18"/>
    <tableColumn id="21" name="TOTALE" dataDxfId="19">
      <calculatedColumnFormula>IF(IF(MASCHI[[#This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20">
      <calculatedColumnFormula>AVERAGE(MASCHI[[#This Row],[24-mar]:[data13]])</calculatedColumnFormula>
    </tableColumn>
    <tableColumn id="23" name=" DATA    " dataDxfId="21"/>
    <tableColumn id="24" name="Colonna18" dataDxfId="22"/>
    <tableColumn id="25" name="Colonna1" dataDxfId="23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24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3" totalsRowShown="0">
  <sortState ref="A8:Y13">
    <sortCondition ref="X8:X13" descending="1"/>
  </sortState>
  <tableColumns count="25">
    <tableColumn id="2" name="Elenco" dataDxfId="26">
      <calculatedColumnFormula>IF(A8="Elenco",1,IF(B9="","",A8+1))</calculatedColumnFormula>
    </tableColumn>
    <tableColumn id="3" name="Nome Giocatore" dataDxfId="27"/>
    <tableColumn id="4" name="Anno di nascita" dataDxfId="28"/>
    <tableColumn id="5" name="Qualifica" dataDxfId="29"/>
    <tableColumn id="6" name="N° Gare" dataDxfId="30">
      <calculatedColumnFormula>IF(COUNTA(G9:S9)+COUNTA(V9:V9)=0,"",COUNTA(G9:S9)+COUNTA(V9:V9))</calculatedColumnFormula>
    </tableColumn>
    <tableColumn id="7" name="Circolo" dataDxfId="31"/>
    <tableColumn id="8" name="24-mar" dataDxfId="32"/>
    <tableColumn id="9" name="14-apr" dataDxfId="33"/>
    <tableColumn id="10" name="data3" dataDxfId="34"/>
    <tableColumn id="11" name="data4" dataDxfId="35"/>
    <tableColumn id="12" name="data5" dataDxfId="36"/>
    <tableColumn id="13" name="data6" dataDxfId="37"/>
    <tableColumn id="14" name="data7" dataDxfId="38"/>
    <tableColumn id="15" name="data8" dataDxfId="39"/>
    <tableColumn id="16" name="data9" dataDxfId="40"/>
    <tableColumn id="17" name="data10" dataDxfId="41"/>
    <tableColumn id="18" name="data11" dataDxfId="42"/>
    <tableColumn id="19" name="data12" dataDxfId="43"/>
    <tableColumn id="20" name="data13" dataDxfId="44"/>
    <tableColumn id="21" name="TOTALE" dataDxfId="45">
      <calculatedColumnFormula>IF(IF(MASCHI4[[#This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46">
      <calculatedColumnFormula>AVERAGE(MASCHI4[[#This Row],[24-mar]:[data13]])</calculatedColumnFormula>
    </tableColumn>
    <tableColumn id="23" name=" DATA    " dataDxfId="47"/>
    <tableColumn id="24" name="Colonna18" dataDxfId="48"/>
    <tableColumn id="25" name="Colonna1" dataDxfId="49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50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>
  <sortState ref="A8:Y13">
    <sortCondition ref="X8:X13" descending="1"/>
  </sortState>
  <tableColumns count="25">
    <tableColumn id="2" name="Elenco" dataDxfId="51">
      <calculatedColumnFormula>IF(A8="Elenco",1,IF(B9="","",A8+1))</calculatedColumnFormula>
    </tableColumn>
    <tableColumn id="3" name="Nome Giocatore" dataDxfId="52"/>
    <tableColumn id="4" name="Anno di nascita" dataDxfId="53"/>
    <tableColumn id="5" name="Qualifica" dataDxfId="54"/>
    <tableColumn id="6" name="N° Gare" dataDxfId="55">
      <calculatedColumnFormula>IF(COUNTA(G9:S9)+COUNTA(V9:V9)=0,"",COUNTA(G9:S9)+COUNTA(V9:V9))</calculatedColumnFormula>
    </tableColumn>
    <tableColumn id="7" name="Circolo" dataDxfId="56"/>
    <tableColumn id="8" name="24-mar" dataDxfId="57"/>
    <tableColumn id="9" name="14-apr" dataDxfId="58"/>
    <tableColumn id="10" name="data3" dataDxfId="59"/>
    <tableColumn id="11" name="data4" dataDxfId="60"/>
    <tableColumn id="12" name="data5" dataDxfId="61"/>
    <tableColumn id="13" name="data6" dataDxfId="62"/>
    <tableColumn id="14" name="data7" dataDxfId="63"/>
    <tableColumn id="15" name="data8" dataDxfId="64"/>
    <tableColumn id="16" name="data9" dataDxfId="65"/>
    <tableColumn id="17" name="data10" dataDxfId="66"/>
    <tableColumn id="18" name="data11" dataDxfId="67"/>
    <tableColumn id="19" name="data12" dataDxfId="68"/>
    <tableColumn id="20" name="data13" dataDxfId="69"/>
    <tableColumn id="21" name="TOTALE" dataDxfId="70">
      <calculatedColumnFormula>IF(IF(FEMMINE[[#This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71">
      <calculatedColumnFormula>AVERAGE(FEMMINE[[#This Row],[24-mar]:[data13]])</calculatedColumnFormula>
    </tableColumn>
    <tableColumn id="23" name=" DATA    " dataDxfId="72"/>
    <tableColumn id="24" name="Colonna18" dataDxfId="73"/>
    <tableColumn id="25" name="Colonna1" dataDxfId="74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75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>
  <autoFilter ref="F2:G44"/>
  <tableColumns count="2">
    <tableColumn id="1" name="1" dataDxfId="76"/>
    <tableColumn id="2" name="100" dataDxfId="7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9" totalsRowShown="0">
  <autoFilter ref="A8:Y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78">
      <calculatedColumnFormula>IF(A8="Elenco",1,IF(B9="","",A8+1))</calculatedColumnFormula>
    </tableColumn>
    <tableColumn id="3" name="Nome Giocatore" dataDxfId="79"/>
    <tableColumn id="4" name="Anno di nascita" dataDxfId="80"/>
    <tableColumn id="5" name="Qualifica" dataDxfId="81"/>
    <tableColumn id="6" name="N° Gare" dataDxfId="82"/>
    <tableColumn id="7" name="Circolo" dataDxfId="83"/>
    <tableColumn id="8" name="24-mar" dataDxfId="84"/>
    <tableColumn id="9" name="14-apr" dataDxfId="85"/>
    <tableColumn id="10" name="data3" dataDxfId="86"/>
    <tableColumn id="11" name="data4" dataDxfId="87"/>
    <tableColumn id="12" name="data5" dataDxfId="88"/>
    <tableColumn id="13" name="data6" dataDxfId="89"/>
    <tableColumn id="14" name="data7" dataDxfId="90"/>
    <tableColumn id="15" name="data8" dataDxfId="91"/>
    <tableColumn id="16" name="data9" dataDxfId="92"/>
    <tableColumn id="17" name="data10" dataDxfId="93"/>
    <tableColumn id="18" name="data11" dataDxfId="94"/>
    <tableColumn id="19" name="data12" dataDxfId="95"/>
    <tableColumn id="20" name="data13" dataDxfId="96"/>
    <tableColumn id="21" name="TOTALE" dataDxfId="97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Row],[data3]]&lt;&gt;0,LOOKUP(FEMMINE7[[#This Row],[data3]],Tabella4[1],Tabella4[100]),0)+IF(FEMMINE7[[#This Row],[data4]]&lt;&gt;0,LOOKUP(FEMMINE7[[#This Row],[data4]],Tabella4[1],Tabella4[100]),0)+IF(FEMMINE7[[#This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Row],[data3]]&lt;&gt;0,LOOKUP(FEMMINE7[[#This Row],[data3]],Tabella4[1],Tabella4[100]),0)+IF(FEMMINE7[[#This Row],[data4]]&lt;&gt;0,LOOKUP(FEMMINE7[[#This Row],[data4]],Tabella4[1],Tabella4[100]),0)+IF(FEMMINE7[[#This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98">
      <calculatedColumnFormula>AVERAGE(FEMMINE7[[#This Row],[24-mar]:[data13]])</calculatedColumnFormula>
    </tableColumn>
    <tableColumn id="23" name=" DATA    " dataDxfId="99"/>
    <tableColumn id="24" name="Colonna18" dataDxfId="100"/>
    <tableColumn id="25" name="Colonna1" dataDxfId="101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102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ref="M5:N46"/>
  <tableColumns count="2">
    <tableColumn id="1" name="Posizione in classifica" dataDxfId="103"/>
    <tableColumn id="2" name="Punti attribuiti" dataDxfId="10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9"/>
  <sheetViews>
    <sheetView tabSelected="1" zoomScale="50" zoomScaleNormal="50" zoomScaleSheetLayoutView="40" workbookViewId="0">
      <selection activeCell="Q21" sqref="Q21"/>
    </sheetView>
  </sheetViews>
  <sheetFormatPr defaultColWidth="9" defaultRowHeight="25.5" customHeight="1"/>
  <cols>
    <col min="1" max="1" width="10.4285714285714" style="79" customWidth="1"/>
    <col min="2" max="2" width="36.4285714285714" style="115" customWidth="1"/>
    <col min="3" max="3" width="18.8571428571429" style="115" customWidth="1"/>
    <col min="4" max="4" width="11.2857142857143" style="115" customWidth="1"/>
    <col min="5" max="5" width="10.1428571428571" style="115" customWidth="1"/>
    <col min="6" max="6" width="30.4285714285714" style="115" customWidth="1"/>
    <col min="7" max="7" width="17.5714285714286" style="79" customWidth="1"/>
    <col min="8" max="8" width="15.7142857142857" style="79" customWidth="1"/>
    <col min="9" max="9" width="12.2857142857143" style="79" customWidth="1"/>
    <col min="10" max="10" width="9.71428571428571" style="79" customWidth="1"/>
    <col min="11" max="11" width="8.85714285714286" style="79" customWidth="1"/>
    <col min="12" max="12" width="9.28571428571429" style="79" customWidth="1"/>
    <col min="13" max="13" width="10.5714285714286" style="79" customWidth="1"/>
    <col min="14" max="15" width="11.1428571428571" style="79" customWidth="1"/>
    <col min="16" max="17" width="12" style="79" customWidth="1"/>
    <col min="18" max="18" width="11.7142857142857" style="79" customWidth="1"/>
    <col min="19" max="19" width="11" style="79" customWidth="1"/>
    <col min="20" max="20" width="15" style="79" customWidth="1"/>
    <col min="21" max="21" width="4" style="79" customWidth="1"/>
    <col min="22" max="22" width="16.7142857142857" style="79" customWidth="1"/>
    <col min="23" max="23" width="4" style="79" customWidth="1"/>
    <col min="24" max="24" width="16.7142857142857" style="79" customWidth="1"/>
    <col min="25" max="25" width="15" style="79" customWidth="1"/>
    <col min="26" max="26" width="9.14285714285714" style="79"/>
    <col min="27" max="66" width="9.14285714285714" style="197"/>
    <col min="67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36"/>
    </row>
    <row r="2" ht="11.25" customHeight="1" spans="1:25">
      <c r="A2" s="98"/>
      <c r="B2" s="82"/>
      <c r="C2" s="82"/>
      <c r="D2" s="82"/>
      <c r="E2" s="82"/>
      <c r="F2" s="177"/>
      <c r="G2" s="84">
        <f>IF(COUNTA(MASCHI[24-mar])=0,0,COUNTA(MASCHI[24-mar]))</f>
        <v>3</v>
      </c>
      <c r="H2" s="84">
        <f>IF(COUNTA(MASCHI[14-apr])=0,0,COUNTA(MASCHI[14-apr]))</f>
        <v>3</v>
      </c>
      <c r="I2" s="84">
        <f>IF(COUNTA(MASCHI[data3])=0,0,COUNTA(MASCHI[data3]))</f>
        <v>0</v>
      </c>
      <c r="J2" s="84">
        <f>IF(COUNTA(MASCHI[data4])=0,0,COUNTA(MASCHI[data4]))</f>
        <v>0</v>
      </c>
      <c r="K2" s="84">
        <f>IF(COUNTA(MASCHI[data5])=0,0,COUNTA(MASCHI[data5]))</f>
        <v>0</v>
      </c>
      <c r="L2" s="84">
        <f>IF(COUNTA(MASCHI[data6])=0,0,COUNTA(MASCHI[data6]))</f>
        <v>0</v>
      </c>
      <c r="M2" s="84">
        <f>IF(COUNTA(MASCHI[data7])=0,0,COUNTA(MASCHI[data7]))</f>
        <v>0</v>
      </c>
      <c r="N2" s="84">
        <f>IF(COUNTA(MASCHI[data8])=0,0,COUNTA(MASCHI[data8]))</f>
        <v>0</v>
      </c>
      <c r="O2" s="84">
        <f>IF(COUNTA(MASCHI[data9])=0,0,COUNTA(MASCHI[data9]))</f>
        <v>0</v>
      </c>
      <c r="P2" s="84">
        <f>IF(COUNTA(MASCHI[data10])=0,0,COUNTA(MASCHI[data10]))</f>
        <v>0</v>
      </c>
      <c r="Q2" s="84">
        <f>IF(COUNTA(MASCHI[data11])=0,0,COUNTA(MASCHI[data11]))</f>
        <v>0</v>
      </c>
      <c r="R2" s="84">
        <f>IF(COUNTA(MASCHI[data12])=0,0,COUNTA(MASCHI[data12]))</f>
        <v>0</v>
      </c>
      <c r="S2" s="84">
        <f>IF(COUNTA(MASCHI[data13])=0,0,COUNTA(MASCHI[data13]))</f>
        <v>0</v>
      </c>
      <c r="T2" s="84"/>
      <c r="U2" s="84"/>
      <c r="V2" s="84">
        <f>IF(COUNTA(MASCHI[data13])=0,0,COUNTA(MASCHI[data13]))</f>
        <v>0</v>
      </c>
      <c r="W2" s="83"/>
      <c r="X2" s="83"/>
      <c r="Y2" s="83"/>
    </row>
    <row r="3" ht="11.2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 t="shared" ref="H3:S3" si="0">IF(H2=0,0,1)</f>
        <v>1</v>
      </c>
      <c r="I3" s="84">
        <f t="shared" si="0"/>
        <v>0</v>
      </c>
      <c r="J3" s="84">
        <f t="shared" si="0"/>
        <v>0</v>
      </c>
      <c r="K3" s="84">
        <f t="shared" si="0"/>
        <v>0</v>
      </c>
      <c r="L3" s="84">
        <f t="shared" si="0"/>
        <v>0</v>
      </c>
      <c r="M3" s="84">
        <f t="shared" si="0"/>
        <v>0</v>
      </c>
      <c r="N3" s="84">
        <f t="shared" si="0"/>
        <v>0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2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198" t="s">
        <v>1</v>
      </c>
      <c r="B4" s="199"/>
      <c r="C4" s="199"/>
      <c r="D4" s="199"/>
      <c r="E4" s="200"/>
      <c r="F4" s="201"/>
      <c r="G4" s="202" t="s">
        <v>2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29"/>
    </row>
    <row r="5" customHeight="1" spans="1:25">
      <c r="A5" s="204"/>
      <c r="B5" s="205"/>
      <c r="C5" s="205"/>
      <c r="D5" s="205"/>
      <c r="E5" s="206"/>
      <c r="F5" s="207"/>
      <c r="G5" s="208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30"/>
    </row>
    <row r="6" customHeight="1" spans="1:25">
      <c r="A6" s="98"/>
      <c r="B6" s="178"/>
      <c r="C6" s="178"/>
      <c r="D6" s="178"/>
      <c r="E6" s="178"/>
      <c r="F6" s="178"/>
      <c r="G6" s="210" t="s">
        <v>3</v>
      </c>
      <c r="H6" s="210" t="s">
        <v>4</v>
      </c>
      <c r="I6" s="210" t="s">
        <v>5</v>
      </c>
      <c r="J6" s="210" t="s">
        <v>6</v>
      </c>
      <c r="K6" s="210" t="s">
        <v>7</v>
      </c>
      <c r="L6" s="210" t="s">
        <v>8</v>
      </c>
      <c r="M6" s="210" t="s">
        <v>9</v>
      </c>
      <c r="N6" s="210" t="s">
        <v>10</v>
      </c>
      <c r="O6" s="210" t="s">
        <v>11</v>
      </c>
      <c r="P6" s="210" t="s">
        <v>12</v>
      </c>
      <c r="Q6" s="210" t="s">
        <v>13</v>
      </c>
      <c r="R6" s="210" t="s">
        <v>14</v>
      </c>
      <c r="S6" s="219" t="s">
        <v>15</v>
      </c>
      <c r="T6" s="220"/>
      <c r="U6" s="119"/>
      <c r="V6" s="221" t="s">
        <v>16</v>
      </c>
      <c r="W6" s="119"/>
      <c r="X6" s="121" t="s">
        <v>17</v>
      </c>
      <c r="Y6" s="139" t="s">
        <v>18</v>
      </c>
    </row>
    <row r="7" customHeight="1" spans="1:31">
      <c r="A7" s="98"/>
      <c r="B7" s="178"/>
      <c r="C7" s="178"/>
      <c r="D7" s="178"/>
      <c r="E7" s="178"/>
      <c r="F7" s="178"/>
      <c r="G7" s="211" t="s">
        <v>19</v>
      </c>
      <c r="H7" s="211" t="s">
        <v>20</v>
      </c>
      <c r="I7" s="212" t="s">
        <v>21</v>
      </c>
      <c r="J7" s="212" t="s">
        <v>21</v>
      </c>
      <c r="K7" s="212" t="s">
        <v>21</v>
      </c>
      <c r="L7" s="212" t="s">
        <v>21</v>
      </c>
      <c r="M7" s="212" t="s">
        <v>21</v>
      </c>
      <c r="N7" s="212" t="s">
        <v>21</v>
      </c>
      <c r="O7" s="212" t="s">
        <v>21</v>
      </c>
      <c r="P7" s="212" t="s">
        <v>21</v>
      </c>
      <c r="Q7" s="212" t="s">
        <v>21</v>
      </c>
      <c r="R7" s="212" t="s">
        <v>21</v>
      </c>
      <c r="S7" s="222" t="s">
        <v>21</v>
      </c>
      <c r="T7" s="223"/>
      <c r="U7" s="124"/>
      <c r="V7" s="224"/>
      <c r="W7" s="124"/>
      <c r="X7" s="121"/>
      <c r="Y7" s="139"/>
      <c r="Z7" s="140"/>
      <c r="AA7" s="145"/>
      <c r="AB7" s="145"/>
      <c r="AC7" s="145"/>
      <c r="AD7" s="145"/>
      <c r="AE7" s="145"/>
    </row>
    <row r="8" s="78" customFormat="1" customHeight="1" spans="1:66">
      <c r="A8" s="103" t="s">
        <v>22</v>
      </c>
      <c r="B8" s="103" t="s">
        <v>23</v>
      </c>
      <c r="C8" s="104" t="s">
        <v>24</v>
      </c>
      <c r="D8" s="104" t="s">
        <v>25</v>
      </c>
      <c r="E8" s="103" t="s">
        <v>26</v>
      </c>
      <c r="F8" s="104" t="s">
        <v>21</v>
      </c>
      <c r="G8" s="237" t="s">
        <v>27</v>
      </c>
      <c r="H8" s="237" t="s">
        <v>28</v>
      </c>
      <c r="I8" s="238" t="s">
        <v>29</v>
      </c>
      <c r="J8" s="238" t="s">
        <v>30</v>
      </c>
      <c r="K8" s="238" t="s">
        <v>31</v>
      </c>
      <c r="L8" s="238" t="s">
        <v>32</v>
      </c>
      <c r="M8" s="238" t="s">
        <v>33</v>
      </c>
      <c r="N8" s="238" t="s">
        <v>34</v>
      </c>
      <c r="O8" s="238" t="s">
        <v>35</v>
      </c>
      <c r="P8" s="238" t="s">
        <v>36</v>
      </c>
      <c r="Q8" s="238" t="s">
        <v>37</v>
      </c>
      <c r="R8" s="238" t="s">
        <v>38</v>
      </c>
      <c r="S8" s="239" t="s">
        <v>39</v>
      </c>
      <c r="T8" s="226" t="s">
        <v>40</v>
      </c>
      <c r="U8" s="127" t="s">
        <v>41</v>
      </c>
      <c r="V8" s="240" t="s">
        <v>42</v>
      </c>
      <c r="W8" s="129" t="s">
        <v>43</v>
      </c>
      <c r="X8" s="130" t="s">
        <v>44</v>
      </c>
      <c r="Y8" s="141" t="s">
        <v>45</v>
      </c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</row>
    <row r="9" customHeight="1" spans="1:26">
      <c r="A9" s="214">
        <f t="shared" ref="A9" si="2">IF(A8="Elenco",1,IF(B9="","",A8+1))</f>
        <v>1</v>
      </c>
      <c r="B9" s="107" t="s">
        <v>46</v>
      </c>
      <c r="C9" s="108">
        <v>2010</v>
      </c>
      <c r="D9" s="108" t="s">
        <v>47</v>
      </c>
      <c r="E9" s="109">
        <f t="shared" ref="E9" si="3">IF(COUNTA(G9:S9)+COUNTA(V9:V9)=0,"",COUNTA(G9:S9)+COUNTA(V9:V9))</f>
        <v>2</v>
      </c>
      <c r="F9" s="110" t="s">
        <v>48</v>
      </c>
      <c r="G9" s="111">
        <v>2</v>
      </c>
      <c r="H9" s="108">
        <v>1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31">
        <f>IF(IF(MASCHI[[#This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180</v>
      </c>
      <c r="U9" s="227">
        <f>AVERAGE(MASCHI[[#This Row],[24-mar]:[data13]])</f>
        <v>1.5</v>
      </c>
      <c r="V9" s="133"/>
      <c r="W9" s="134"/>
      <c r="X9" s="135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180</v>
      </c>
      <c r="Y9" s="73">
        <f t="shared" ref="Y9" si="4">IFERROR(IF(E9=0,"",X9/E9),"")</f>
        <v>90</v>
      </c>
      <c r="Z9" s="142"/>
    </row>
    <row r="10" customHeight="1" spans="1:26">
      <c r="A10" s="214">
        <f t="shared" ref="A10:A11" si="5">IF(A9="Elenco",1,IF(B10="","",A9+1))</f>
        <v>2</v>
      </c>
      <c r="B10" s="107" t="s">
        <v>49</v>
      </c>
      <c r="C10" s="108">
        <v>2011</v>
      </c>
      <c r="D10" s="108" t="s">
        <v>47</v>
      </c>
      <c r="E10" s="109">
        <f t="shared" ref="E10:E12" si="6">IF(COUNTA(G10:S10)+COUNTA(V10:V10)=0,"",COUNTA(G10:S10)+COUNTA(V10:V10))</f>
        <v>2</v>
      </c>
      <c r="F10" s="110" t="s">
        <v>48</v>
      </c>
      <c r="G10" s="111">
        <v>3</v>
      </c>
      <c r="H10" s="108">
        <v>3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31">
        <f>IF(IF(MASCHI[[#This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154</v>
      </c>
      <c r="U10" s="227">
        <f>AVERAGE(MASCHI[[#This Row],[24-mar]:[data13]])</f>
        <v>3</v>
      </c>
      <c r="V10" s="133"/>
      <c r="W10" s="134"/>
      <c r="X10" s="135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154</v>
      </c>
      <c r="Y10" s="73">
        <f t="shared" ref="Y10:Y12" si="7">IFERROR(IF(E10=0,"",X10/E10),"")</f>
        <v>77</v>
      </c>
      <c r="Z10" s="142"/>
    </row>
    <row r="11" customHeight="1" spans="1:26">
      <c r="A11" s="236">
        <f t="shared" si="5"/>
        <v>3</v>
      </c>
      <c r="B11" s="107" t="s">
        <v>50</v>
      </c>
      <c r="C11" s="108">
        <v>2010</v>
      </c>
      <c r="D11" s="108"/>
      <c r="E11" s="109">
        <f t="shared" si="6"/>
        <v>1</v>
      </c>
      <c r="F11" s="110" t="s">
        <v>51</v>
      </c>
      <c r="G11" s="216"/>
      <c r="H11" s="216">
        <v>4</v>
      </c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187">
        <f>IF(IF(MASCHI[[#This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70</v>
      </c>
      <c r="U11" s="228">
        <f>AVERAGE(MASCHI[[#This Row],[24-mar]:[data13]])</f>
        <v>4</v>
      </c>
      <c r="V11" s="189"/>
      <c r="W11" s="190"/>
      <c r="X11" s="191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70</v>
      </c>
      <c r="Y11" s="192">
        <f t="shared" si="7"/>
        <v>70</v>
      </c>
      <c r="Z11" s="142"/>
    </row>
    <row r="12" customHeight="1" spans="1:26">
      <c r="A12" s="214">
        <f>IF(A10="Elenco",1,IF(B12="","",A10+1))</f>
        <v>3</v>
      </c>
      <c r="B12" s="107" t="s">
        <v>52</v>
      </c>
      <c r="C12" s="108">
        <v>2010</v>
      </c>
      <c r="D12" s="108" t="s">
        <v>53</v>
      </c>
      <c r="E12" s="109">
        <f t="shared" si="6"/>
        <v>1</v>
      </c>
      <c r="F12" s="110" t="s">
        <v>54</v>
      </c>
      <c r="G12" s="111">
        <v>6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31">
        <f>IF(IF(MASCHI[[#This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59</v>
      </c>
      <c r="U12" s="227">
        <f>AVERAGE(MASCHI[[#This Row],[24-mar]:[data13]])</f>
        <v>6</v>
      </c>
      <c r="V12" s="133"/>
      <c r="W12" s="134"/>
      <c r="X12" s="135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59</v>
      </c>
      <c r="Y12" s="73">
        <f t="shared" si="7"/>
        <v>59</v>
      </c>
      <c r="Z12" s="142"/>
    </row>
    <row r="13" customHeight="1" spans="26:26">
      <c r="Z13" s="142"/>
    </row>
    <row r="14" customHeight="1" spans="26:26">
      <c r="Z14" s="142"/>
    </row>
    <row r="19" customHeight="1" spans="6:6">
      <c r="F19" s="183"/>
    </row>
    <row r="20" customHeight="1" spans="1:6">
      <c r="A20" s="112"/>
      <c r="B20" s="113"/>
      <c r="F20" s="183"/>
    </row>
    <row r="21" customHeight="1" spans="1:2">
      <c r="A21" s="112"/>
      <c r="B21" s="113"/>
    </row>
    <row r="22" customHeight="1" spans="1:2">
      <c r="A22" s="112"/>
      <c r="B22" s="113"/>
    </row>
    <row r="23" customHeight="1" spans="1:16">
      <c r="A23" s="112"/>
      <c r="B23" s="113"/>
      <c r="L23" s="218"/>
      <c r="M23" s="218"/>
      <c r="N23" s="218"/>
      <c r="O23" s="218"/>
      <c r="P23" s="218"/>
    </row>
    <row r="24" customHeight="1" spans="1:16">
      <c r="A24" s="112"/>
      <c r="B24" s="113"/>
      <c r="L24" s="218"/>
      <c r="M24" s="218"/>
      <c r="N24" s="218"/>
      <c r="O24" s="218"/>
      <c r="P24" s="218"/>
    </row>
    <row r="25" customHeight="1" spans="1:2">
      <c r="A25" s="112"/>
      <c r="B25" s="113"/>
    </row>
    <row r="26" customHeight="1" spans="1:2">
      <c r="A26" s="112"/>
      <c r="B26" s="113"/>
    </row>
    <row r="27" customHeight="1" spans="1:2">
      <c r="A27" s="112"/>
      <c r="B27" s="113"/>
    </row>
    <row r="28" customHeight="1" spans="1:2">
      <c r="A28" s="112"/>
      <c r="B28" s="113"/>
    </row>
    <row r="29" customHeight="1" spans="1:11">
      <c r="A29" s="112"/>
      <c r="B29" s="113"/>
      <c r="G29" s="217"/>
      <c r="H29" s="217"/>
      <c r="I29" s="217"/>
      <c r="J29" s="217"/>
      <c r="K29" s="217"/>
    </row>
    <row r="30" customHeight="1" spans="1:11">
      <c r="A30" s="112"/>
      <c r="B30" s="113"/>
      <c r="G30" s="217"/>
      <c r="H30" s="217"/>
      <c r="I30" s="217"/>
      <c r="J30" s="217"/>
      <c r="K30" s="217"/>
    </row>
    <row r="31" customHeight="1" spans="1:2">
      <c r="A31" s="112"/>
      <c r="B31" s="113"/>
    </row>
    <row r="32" customHeight="1" spans="1:2">
      <c r="A32" s="112"/>
      <c r="B32" s="113"/>
    </row>
    <row r="33" customHeight="1" spans="1:2">
      <c r="A33" s="112"/>
      <c r="B33" s="113"/>
    </row>
    <row r="34" customHeight="1" spans="1:2">
      <c r="A34" s="112"/>
      <c r="B34" s="113"/>
    </row>
    <row r="35" customHeight="1" spans="1:2">
      <c r="A35" s="112"/>
      <c r="B35" s="113"/>
    </row>
    <row r="36" customHeight="1" spans="1:2">
      <c r="A36" s="112"/>
      <c r="B36" s="113"/>
    </row>
    <row r="37" customHeight="1" spans="1:2">
      <c r="A37" s="112"/>
      <c r="B37" s="113"/>
    </row>
    <row r="38" customHeight="1" spans="1:2">
      <c r="A38" s="112"/>
      <c r="B38" s="113"/>
    </row>
    <row r="39" customHeight="1" spans="1:2">
      <c r="A39" s="112"/>
      <c r="B39" s="113"/>
    </row>
    <row r="40" customHeight="1" spans="1:2">
      <c r="A40" s="112"/>
      <c r="B40" s="113"/>
    </row>
    <row r="41" customHeight="1" spans="1:2">
      <c r="A41" s="112"/>
      <c r="B41" s="113"/>
    </row>
    <row r="42" customHeight="1" spans="1:2">
      <c r="A42" s="112"/>
      <c r="B42" s="113"/>
    </row>
    <row r="43" customHeight="1" spans="1:2">
      <c r="A43" s="112"/>
      <c r="B43" s="113"/>
    </row>
    <row r="44" customHeight="1" spans="1:6">
      <c r="A44" s="112"/>
      <c r="B44" s="113"/>
      <c r="F44" s="183"/>
    </row>
    <row r="45" customHeight="1" spans="1:6">
      <c r="A45" s="112"/>
      <c r="B45" s="113"/>
      <c r="F45" s="183"/>
    </row>
    <row r="46" customHeight="1" spans="1:6">
      <c r="A46" s="112"/>
      <c r="B46" s="113"/>
      <c r="F46" s="183"/>
    </row>
    <row r="47" customHeight="1" spans="1:6">
      <c r="A47" s="112"/>
      <c r="B47" s="113"/>
      <c r="F47" s="183"/>
    </row>
    <row r="48" customHeight="1" spans="1:6">
      <c r="A48" s="112"/>
      <c r="B48" s="113"/>
      <c r="F48" s="183"/>
    </row>
    <row r="49" customHeight="1" spans="1:6">
      <c r="A49" s="112"/>
      <c r="B49" s="113"/>
      <c r="F49" s="183"/>
    </row>
    <row r="50" customHeight="1" spans="1:6">
      <c r="A50" s="112"/>
      <c r="B50" s="113"/>
      <c r="F50" s="183"/>
    </row>
    <row r="51" customHeight="1" spans="1:6">
      <c r="A51" s="112"/>
      <c r="B51" s="113"/>
      <c r="F51" s="183"/>
    </row>
    <row r="52" customHeight="1" spans="1:6">
      <c r="A52" s="112"/>
      <c r="B52" s="113"/>
      <c r="F52" s="183"/>
    </row>
    <row r="53" customHeight="1" spans="1:6">
      <c r="A53" s="112"/>
      <c r="B53" s="113"/>
      <c r="F53" s="183"/>
    </row>
    <row r="54" customHeight="1" spans="1:6">
      <c r="A54" s="112"/>
      <c r="B54" s="113"/>
      <c r="F54" s="183"/>
    </row>
    <row r="55" customHeight="1" spans="1:6">
      <c r="A55" s="112"/>
      <c r="B55" s="113"/>
      <c r="F55" s="183"/>
    </row>
    <row r="56" customHeight="1" spans="1:6">
      <c r="A56" s="112"/>
      <c r="B56" s="113"/>
      <c r="F56" s="183"/>
    </row>
    <row r="57" customHeight="1" spans="1:6">
      <c r="A57" s="112"/>
      <c r="B57" s="113"/>
      <c r="F57" s="183"/>
    </row>
    <row r="58" customHeight="1" spans="1:6">
      <c r="A58" s="112"/>
      <c r="B58" s="113"/>
      <c r="F58" s="183"/>
    </row>
    <row r="59" customHeight="1" spans="1:6">
      <c r="A59" s="112"/>
      <c r="B59" s="113"/>
      <c r="F59" s="183"/>
    </row>
    <row r="60" customHeight="1" spans="1:6">
      <c r="A60" s="112"/>
      <c r="B60" s="113"/>
      <c r="F60" s="183"/>
    </row>
    <row r="61" customHeight="1" spans="1:6">
      <c r="A61" s="112"/>
      <c r="B61" s="113"/>
      <c r="F61" s="183"/>
    </row>
    <row r="62" customHeight="1" spans="1:6">
      <c r="A62" s="112"/>
      <c r="B62" s="113"/>
      <c r="F62" s="183"/>
    </row>
    <row r="63" customHeight="1" spans="1:6">
      <c r="A63" s="112"/>
      <c r="B63" s="113"/>
      <c r="F63" s="183"/>
    </row>
    <row r="64" customHeight="1" spans="1:6">
      <c r="A64" s="112"/>
      <c r="B64" s="113"/>
      <c r="F64" s="183"/>
    </row>
    <row r="65" customHeight="1" spans="1:6">
      <c r="A65" s="112"/>
      <c r="B65" s="113"/>
      <c r="F65" s="183"/>
    </row>
    <row r="66" customHeight="1" spans="1:6">
      <c r="A66" s="112"/>
      <c r="B66" s="113"/>
      <c r="F66" s="183"/>
    </row>
    <row r="67" customHeight="1" spans="1:6">
      <c r="A67" s="112"/>
      <c r="B67" s="113"/>
      <c r="F67" s="183"/>
    </row>
    <row r="68" customHeight="1" spans="1:6">
      <c r="A68" s="112"/>
      <c r="B68" s="113"/>
      <c r="F68" s="183"/>
    </row>
    <row r="69" customHeight="1" spans="1:6">
      <c r="A69" s="112"/>
      <c r="B69" s="113"/>
      <c r="F69" s="183"/>
    </row>
    <row r="70" customHeight="1" spans="1:6">
      <c r="A70" s="112"/>
      <c r="B70" s="113"/>
      <c r="F70" s="183"/>
    </row>
    <row r="71" customHeight="1" spans="1:6">
      <c r="A71" s="112"/>
      <c r="B71" s="113"/>
      <c r="F71" s="183"/>
    </row>
    <row r="72" customHeight="1" spans="1:6">
      <c r="A72" s="112"/>
      <c r="B72" s="113"/>
      <c r="F72" s="183"/>
    </row>
    <row r="73" customHeight="1" spans="1:6">
      <c r="A73" s="112"/>
      <c r="B73" s="113"/>
      <c r="F73" s="183"/>
    </row>
    <row r="74" customHeight="1" spans="1:6">
      <c r="A74" s="112"/>
      <c r="B74" s="113"/>
      <c r="F74" s="183"/>
    </row>
    <row r="75" customHeight="1" spans="1:6">
      <c r="A75" s="112"/>
      <c r="B75" s="113"/>
      <c r="F75" s="183"/>
    </row>
    <row r="76" customHeight="1" spans="1:6">
      <c r="A76" s="112"/>
      <c r="B76" s="113"/>
      <c r="F76" s="183"/>
    </row>
    <row r="77" customHeight="1" spans="1:6">
      <c r="A77" s="112"/>
      <c r="B77" s="113"/>
      <c r="F77" s="183"/>
    </row>
    <row r="78" customHeight="1" spans="1:6">
      <c r="A78" s="112"/>
      <c r="B78" s="113"/>
      <c r="F78" s="183"/>
    </row>
    <row r="79" customHeight="1" spans="1:6">
      <c r="A79" s="112"/>
      <c r="B79" s="113"/>
      <c r="F79" s="183"/>
    </row>
    <row r="80" customHeight="1" spans="1:6">
      <c r="A80" s="112"/>
      <c r="B80" s="113"/>
      <c r="F80" s="183"/>
    </row>
    <row r="81" customHeight="1" spans="1:6">
      <c r="A81" s="112"/>
      <c r="B81" s="113"/>
      <c r="F81" s="183"/>
    </row>
    <row r="82" customHeight="1" spans="1:6">
      <c r="A82" s="112"/>
      <c r="B82" s="113"/>
      <c r="F82" s="183"/>
    </row>
    <row r="83" customHeight="1" spans="1:6">
      <c r="A83" s="112"/>
      <c r="B83" s="113"/>
      <c r="F83" s="183"/>
    </row>
    <row r="84" customHeight="1" spans="1:6">
      <c r="A84" s="112"/>
      <c r="B84" s="113"/>
      <c r="F84" s="183"/>
    </row>
    <row r="85" customHeight="1" spans="1:6">
      <c r="A85" s="112"/>
      <c r="B85" s="113"/>
      <c r="F85" s="183"/>
    </row>
    <row r="86" customHeight="1" spans="1:6">
      <c r="A86" s="112"/>
      <c r="B86" s="113"/>
      <c r="F86" s="183"/>
    </row>
    <row r="87" customHeight="1" spans="1:22">
      <c r="A87" s="112"/>
      <c r="B87" s="113"/>
      <c r="E87" s="159"/>
      <c r="F87" s="158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</row>
    <row r="88" customHeight="1" spans="1:22">
      <c r="A88" s="112"/>
      <c r="B88" s="113"/>
      <c r="E88" s="159"/>
      <c r="F88" s="158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</row>
    <row r="89" customHeight="1" spans="1:22">
      <c r="A89" s="112"/>
      <c r="E89" s="159"/>
      <c r="F89" s="193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9"/>
      <c r="U89" s="197"/>
      <c r="V89" s="197"/>
    </row>
    <row r="90" customHeight="1" spans="1:22">
      <c r="A90" s="112"/>
      <c r="E90" s="159"/>
      <c r="F90" s="193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97"/>
      <c r="U90" s="197"/>
      <c r="V90" s="144"/>
    </row>
    <row r="91" customHeight="1" spans="1:22">
      <c r="A91" s="112"/>
      <c r="E91" s="159"/>
      <c r="F91" s="193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97"/>
      <c r="U91" s="197"/>
      <c r="V91" s="144"/>
    </row>
    <row r="92" customHeight="1" spans="1:22">
      <c r="A92" s="112"/>
      <c r="E92" s="159"/>
      <c r="F92" s="193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59"/>
      <c r="U92" s="197"/>
      <c r="V92" s="158"/>
    </row>
    <row r="93" customHeight="1" spans="1:22">
      <c r="A93" s="112"/>
      <c r="E93" s="159"/>
      <c r="F93" s="159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58"/>
    </row>
    <row r="94" customHeight="1" spans="1:22">
      <c r="A94" s="112"/>
      <c r="E94" s="159"/>
      <c r="F94" s="159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</row>
    <row r="95" customHeight="1" spans="1:22">
      <c r="A95" s="112"/>
      <c r="B95" s="145"/>
      <c r="E95" s="232"/>
      <c r="F95" s="159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</row>
    <row r="96" customHeight="1" spans="1:22">
      <c r="A96" s="112"/>
      <c r="B96" s="148"/>
      <c r="C96" s="149"/>
      <c r="D96" s="149"/>
      <c r="E96" s="233"/>
      <c r="F96" s="195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</row>
    <row r="97" customHeight="1" spans="1:22">
      <c r="A97" s="112"/>
      <c r="B97" s="196"/>
      <c r="C97" s="153"/>
      <c r="D97" s="153"/>
      <c r="E97" s="234"/>
      <c r="F97" s="155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</row>
    <row r="98" customHeight="1" spans="1:22">
      <c r="A98" s="112"/>
      <c r="E98" s="159"/>
      <c r="F98" s="159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</row>
    <row r="99" customHeight="1" spans="1:22">
      <c r="A99" s="112"/>
      <c r="E99" s="159"/>
      <c r="F99" s="159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</row>
    <row r="100" customHeight="1" spans="1:22">
      <c r="A100" s="112"/>
      <c r="E100" s="159"/>
      <c r="F100" s="159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</row>
    <row r="101" customHeight="1" spans="1:22">
      <c r="A101" s="112"/>
      <c r="E101" s="159"/>
      <c r="F101" s="159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</row>
    <row r="102" customHeight="1" spans="1:22">
      <c r="A102" s="156"/>
      <c r="B102" s="196"/>
      <c r="E102" s="233"/>
      <c r="F102" s="235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</row>
    <row r="103" customHeight="1" spans="1:22">
      <c r="A103" s="156"/>
      <c r="B103" s="196"/>
      <c r="E103" s="233"/>
      <c r="F103" s="235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</row>
    <row r="104" customHeight="1" spans="1:6">
      <c r="A104" s="156"/>
      <c r="B104" s="196"/>
      <c r="E104" s="150"/>
      <c r="F104" s="196"/>
    </row>
    <row r="105" customHeight="1" spans="1:6">
      <c r="A105" s="156"/>
      <c r="B105" s="196"/>
      <c r="E105" s="150"/>
      <c r="F105" s="196"/>
    </row>
    <row r="106" customHeight="1" spans="1:6">
      <c r="A106" s="156"/>
      <c r="B106" s="196"/>
      <c r="E106" s="150"/>
      <c r="F106" s="196"/>
    </row>
    <row r="107" customHeight="1" spans="1:6">
      <c r="A107" s="156"/>
      <c r="B107" s="196"/>
      <c r="E107" s="150"/>
      <c r="F107" s="196"/>
    </row>
    <row r="108" customHeight="1" spans="1:6">
      <c r="A108" s="156"/>
      <c r="B108" s="196"/>
      <c r="E108" s="150"/>
      <c r="F108" s="196"/>
    </row>
    <row r="109" customHeight="1" spans="1:6">
      <c r="A109" s="156"/>
      <c r="B109" s="196"/>
      <c r="E109" s="150"/>
      <c r="F109" s="196"/>
    </row>
    <row r="110" customHeight="1" spans="1:6">
      <c r="A110" s="156"/>
      <c r="B110" s="196"/>
      <c r="E110" s="150"/>
      <c r="F110" s="196"/>
    </row>
    <row r="111" customHeight="1" spans="1:6">
      <c r="A111" s="156"/>
      <c r="B111" s="196"/>
      <c r="E111" s="150"/>
      <c r="F111" s="196"/>
    </row>
    <row r="112" customHeight="1" spans="1:6">
      <c r="A112" s="156"/>
      <c r="B112" s="196"/>
      <c r="E112" s="150"/>
      <c r="F112" s="196"/>
    </row>
    <row r="113" customHeight="1" spans="1:6">
      <c r="A113" s="156"/>
      <c r="B113" s="196"/>
      <c r="E113" s="150"/>
      <c r="F113" s="196"/>
    </row>
    <row r="114" customHeight="1" spans="1:6">
      <c r="A114" s="156"/>
      <c r="B114" s="196"/>
      <c r="E114" s="150"/>
      <c r="F114" s="196"/>
    </row>
    <row r="115" customHeight="1" spans="1:6">
      <c r="A115" s="156"/>
      <c r="B115" s="196"/>
      <c r="E115" s="150"/>
      <c r="F115" s="196"/>
    </row>
    <row r="116" customHeight="1" spans="1:6">
      <c r="A116" s="156"/>
      <c r="B116" s="196"/>
      <c r="E116" s="150"/>
      <c r="F116" s="196"/>
    </row>
    <row r="117" customHeight="1" spans="1:6">
      <c r="A117" s="156"/>
      <c r="B117" s="196"/>
      <c r="E117" s="150"/>
      <c r="F117" s="196"/>
    </row>
    <row r="118" customHeight="1" spans="1:6">
      <c r="A118" s="156"/>
      <c r="B118" s="196"/>
      <c r="E118" s="150"/>
      <c r="F118" s="196"/>
    </row>
    <row r="119" customHeight="1" spans="1:6">
      <c r="A119" s="156"/>
      <c r="B119" s="196"/>
      <c r="E119" s="150"/>
      <c r="F119" s="196"/>
    </row>
    <row r="120" customHeight="1" spans="1:6">
      <c r="A120" s="156"/>
      <c r="B120" s="196"/>
      <c r="E120" s="150"/>
      <c r="F120" s="196"/>
    </row>
    <row r="121" customHeight="1" spans="1:6">
      <c r="A121" s="156"/>
      <c r="B121" s="196"/>
      <c r="E121" s="150"/>
      <c r="F121" s="196"/>
    </row>
    <row r="122" customHeight="1" spans="1:6">
      <c r="A122" s="156"/>
      <c r="B122" s="196"/>
      <c r="E122" s="150"/>
      <c r="F122" s="196"/>
    </row>
    <row r="123" customHeight="1" spans="1:6">
      <c r="A123" s="156"/>
      <c r="B123" s="196"/>
      <c r="E123" s="150"/>
      <c r="F123" s="196"/>
    </row>
    <row r="124" customHeight="1" spans="1:6">
      <c r="A124" s="156"/>
      <c r="B124" s="196"/>
      <c r="E124" s="150"/>
      <c r="F124" s="196"/>
    </row>
    <row r="125" customHeight="1" spans="1:6">
      <c r="A125" s="156"/>
      <c r="B125" s="196"/>
      <c r="E125" s="150"/>
      <c r="F125" s="196"/>
    </row>
    <row r="126" customHeight="1" spans="1:6">
      <c r="A126" s="156"/>
      <c r="B126" s="196"/>
      <c r="E126" s="150"/>
      <c r="F126" s="196"/>
    </row>
    <row r="127" customHeight="1" spans="1:6">
      <c r="A127" s="156"/>
      <c r="B127" s="196"/>
      <c r="E127" s="150"/>
      <c r="F127" s="196"/>
    </row>
    <row r="128" customHeight="1" spans="1:6">
      <c r="A128" s="156"/>
      <c r="B128" s="196"/>
      <c r="E128" s="150"/>
      <c r="F128" s="196"/>
    </row>
    <row r="129" customHeight="1" spans="1:6">
      <c r="A129" s="156"/>
      <c r="B129" s="196"/>
      <c r="E129" s="150"/>
      <c r="F129" s="196"/>
    </row>
    <row r="130" customHeight="1" spans="1:6">
      <c r="A130" s="156"/>
      <c r="B130" s="196"/>
      <c r="E130" s="150"/>
      <c r="F130" s="196"/>
    </row>
    <row r="131" customHeight="1" spans="1:6">
      <c r="A131" s="156"/>
      <c r="B131" s="196"/>
      <c r="E131" s="150"/>
      <c r="F131" s="196"/>
    </row>
    <row r="132" customHeight="1" spans="1:6">
      <c r="A132" s="156"/>
      <c r="B132" s="196"/>
      <c r="E132" s="150"/>
      <c r="F132" s="196"/>
    </row>
    <row r="133" customHeight="1" spans="1:6">
      <c r="A133" s="156"/>
      <c r="B133" s="196"/>
      <c r="E133" s="150"/>
      <c r="F133" s="196"/>
    </row>
    <row r="134" customHeight="1" spans="1:6">
      <c r="A134" s="156"/>
      <c r="B134" s="196"/>
      <c r="E134" s="150"/>
      <c r="F134" s="196"/>
    </row>
    <row r="135" customHeight="1" spans="1:6">
      <c r="A135" s="156"/>
      <c r="B135" s="196"/>
      <c r="E135" s="150"/>
      <c r="F135" s="196"/>
    </row>
    <row r="136" customHeight="1" spans="1:6">
      <c r="A136" s="156"/>
      <c r="B136" s="196"/>
      <c r="E136" s="150"/>
      <c r="F136" s="196"/>
    </row>
    <row r="137" customHeight="1" spans="1:6">
      <c r="A137" s="156"/>
      <c r="B137" s="196"/>
      <c r="E137" s="150"/>
      <c r="F137" s="196"/>
    </row>
    <row r="138" customHeight="1" spans="1:6">
      <c r="A138" s="156"/>
      <c r="B138" s="196"/>
      <c r="E138" s="150"/>
      <c r="F138" s="196"/>
    </row>
    <row r="139" customHeight="1" spans="1:6">
      <c r="A139" s="156"/>
      <c r="B139" s="196"/>
      <c r="E139" s="150"/>
      <c r="F139" s="196"/>
    </row>
    <row r="140" customHeight="1" spans="1:6">
      <c r="A140" s="156"/>
      <c r="B140" s="196"/>
      <c r="E140" s="150"/>
      <c r="F140" s="196"/>
    </row>
    <row r="141" customHeight="1" spans="1:6">
      <c r="A141" s="156"/>
      <c r="B141" s="196"/>
      <c r="E141" s="150"/>
      <c r="F141" s="196"/>
    </row>
    <row r="142" customHeight="1" spans="1:6">
      <c r="A142" s="156"/>
      <c r="B142" s="196"/>
      <c r="E142" s="150"/>
      <c r="F142" s="196"/>
    </row>
    <row r="143" customHeight="1" spans="1:6">
      <c r="A143" s="156"/>
      <c r="B143" s="196"/>
      <c r="E143" s="150"/>
      <c r="F143" s="196"/>
    </row>
    <row r="144" customHeight="1" spans="1:6">
      <c r="A144" s="156"/>
      <c r="B144" s="196"/>
      <c r="E144" s="150"/>
      <c r="F144" s="196"/>
    </row>
    <row r="145" customHeight="1" spans="1:6">
      <c r="A145" s="156"/>
      <c r="B145" s="196"/>
      <c r="E145" s="150"/>
      <c r="F145" s="196"/>
    </row>
    <row r="146" customHeight="1" spans="1:6">
      <c r="A146" s="156"/>
      <c r="B146" s="196"/>
      <c r="E146" s="150"/>
      <c r="F146" s="196"/>
    </row>
    <row r="147" customHeight="1" spans="1:6">
      <c r="A147" s="156"/>
      <c r="B147" s="196"/>
      <c r="E147" s="150"/>
      <c r="F147" s="196"/>
    </row>
    <row r="148" customHeight="1" spans="1:6">
      <c r="A148" s="156"/>
      <c r="B148" s="196"/>
      <c r="E148" s="150"/>
      <c r="F148" s="196"/>
    </row>
    <row r="149" customHeight="1" spans="1:6">
      <c r="A149" s="156"/>
      <c r="B149" s="196"/>
      <c r="E149" s="150"/>
      <c r="F149" s="196"/>
    </row>
    <row r="150" customHeight="1" spans="1:6">
      <c r="A150" s="156"/>
      <c r="B150" s="196"/>
      <c r="E150" s="150"/>
      <c r="F150" s="196"/>
    </row>
    <row r="151" customHeight="1" spans="1:6">
      <c r="A151" s="156"/>
      <c r="B151" s="196"/>
      <c r="E151" s="150"/>
      <c r="F151" s="196"/>
    </row>
    <row r="152" customHeight="1" spans="1:6">
      <c r="A152" s="156"/>
      <c r="B152" s="196"/>
      <c r="E152" s="150"/>
      <c r="F152" s="196"/>
    </row>
    <row r="153" customHeight="1" spans="1:6">
      <c r="A153" s="156"/>
      <c r="B153" s="196"/>
      <c r="E153" s="150"/>
      <c r="F153" s="196"/>
    </row>
    <row r="154" customHeight="1" spans="1:6">
      <c r="A154" s="156"/>
      <c r="B154" s="196"/>
      <c r="E154" s="150"/>
      <c r="F154" s="196"/>
    </row>
    <row r="155" customHeight="1" spans="1:6">
      <c r="A155" s="156"/>
      <c r="B155" s="196"/>
      <c r="E155" s="150"/>
      <c r="F155" s="196"/>
    </row>
    <row r="156" customHeight="1" spans="1:6">
      <c r="A156" s="156"/>
      <c r="B156" s="196"/>
      <c r="E156" s="150"/>
      <c r="F156" s="196"/>
    </row>
    <row r="157" customHeight="1" spans="1:6">
      <c r="A157" s="156"/>
      <c r="B157" s="196"/>
      <c r="E157" s="150"/>
      <c r="F157" s="196"/>
    </row>
    <row r="158" customHeight="1" spans="1:6">
      <c r="A158" s="156"/>
      <c r="B158" s="196"/>
      <c r="E158" s="150"/>
      <c r="F158" s="196"/>
    </row>
    <row r="159" customHeight="1" spans="2:6">
      <c r="B159" s="160"/>
      <c r="C159" s="150"/>
      <c r="D159" s="150"/>
      <c r="E159" s="150"/>
      <c r="F159" s="183"/>
    </row>
    <row r="160" customHeight="1" spans="2:6">
      <c r="B160" s="160"/>
      <c r="C160" s="150"/>
      <c r="D160" s="150"/>
      <c r="E160" s="150"/>
      <c r="F160" s="183"/>
    </row>
    <row r="161" customHeight="1" spans="2:6">
      <c r="B161" s="161"/>
      <c r="C161" s="150"/>
      <c r="D161" s="150"/>
      <c r="E161" s="150"/>
      <c r="F161" s="183"/>
    </row>
    <row r="162" customHeight="1" spans="2:6">
      <c r="B162" s="160"/>
      <c r="C162" s="150"/>
      <c r="D162" s="150"/>
      <c r="E162" s="150"/>
      <c r="F162" s="183"/>
    </row>
    <row r="163" customHeight="1" spans="2:6">
      <c r="B163" s="160"/>
      <c r="C163" s="150"/>
      <c r="D163" s="150"/>
      <c r="E163" s="150"/>
      <c r="F163" s="183"/>
    </row>
    <row r="164" customHeight="1" spans="2:6">
      <c r="B164" s="161"/>
      <c r="C164" s="150"/>
      <c r="D164" s="150"/>
      <c r="E164" s="150"/>
      <c r="F164" s="183"/>
    </row>
    <row r="165" customHeight="1" spans="2:6">
      <c r="B165" s="160"/>
      <c r="C165" s="150"/>
      <c r="D165" s="150"/>
      <c r="E165" s="150"/>
      <c r="F165" s="183"/>
    </row>
    <row r="166" customHeight="1" spans="2:6">
      <c r="B166" s="160"/>
      <c r="C166" s="150"/>
      <c r="D166" s="150"/>
      <c r="E166" s="150"/>
      <c r="F166" s="183"/>
    </row>
    <row r="167" customHeight="1" spans="2:6">
      <c r="B167" s="160"/>
      <c r="C167" s="150"/>
      <c r="D167" s="150"/>
      <c r="E167" s="150"/>
      <c r="F167" s="183"/>
    </row>
    <row r="168" customHeight="1" spans="2:6">
      <c r="B168" s="160"/>
      <c r="C168" s="150"/>
      <c r="D168" s="150"/>
      <c r="E168" s="150"/>
      <c r="F168" s="183"/>
    </row>
    <row r="169" customHeight="1" spans="2:6">
      <c r="B169" s="160"/>
      <c r="C169" s="150"/>
      <c r="D169" s="150"/>
      <c r="E169" s="150"/>
      <c r="F169" s="183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2">
    <cfRule type="containsBlanks" dxfId="25" priority="1">
      <formula>LEN(TRIM(G9))=0</formula>
    </cfRule>
  </conditionalFormatting>
  <dataValidations count="1">
    <dataValidation type="list" allowBlank="1" showInputMessage="1" showErrorMessage="1" sqref="D9:D12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4"/>
  <sheetViews>
    <sheetView zoomScale="50" zoomScaleNormal="50" zoomScaleSheetLayoutView="40" workbookViewId="0">
      <selection activeCell="I15" sqref="I15"/>
    </sheetView>
  </sheetViews>
  <sheetFormatPr defaultColWidth="9" defaultRowHeight="25.5" customHeight="1"/>
  <cols>
    <col min="1" max="1" width="10.4285714285714" style="79" customWidth="1"/>
    <col min="2" max="2" width="42.5714285714286" style="115" customWidth="1"/>
    <col min="3" max="3" width="18.8571428571429" style="115" customWidth="1"/>
    <col min="4" max="4" width="10.7142857142857" style="115" customWidth="1"/>
    <col min="5" max="5" width="10.8571428571429" style="115" customWidth="1"/>
    <col min="6" max="6" width="15.7142857142857" style="115" customWidth="1"/>
    <col min="7" max="7" width="17.1428571428571" style="79" customWidth="1"/>
    <col min="8" max="8" width="16.1428571428571" style="79" customWidth="1"/>
    <col min="9" max="9" width="11.1428571428571" style="79" customWidth="1"/>
    <col min="10" max="10" width="10.4285714285714" style="79" customWidth="1"/>
    <col min="11" max="12" width="10.8571428571429" style="79" customWidth="1"/>
    <col min="13" max="13" width="11.1428571428571" style="79" customWidth="1"/>
    <col min="14" max="14" width="11" style="79" customWidth="1"/>
    <col min="15" max="15" width="10" style="79" customWidth="1"/>
    <col min="16" max="16" width="11.2857142857143" style="79" customWidth="1"/>
    <col min="17" max="18" width="11.1428571428571" style="79" customWidth="1"/>
    <col min="19" max="19" width="10.2857142857143" style="79" customWidth="1"/>
    <col min="20" max="20" width="15" style="79" customWidth="1"/>
    <col min="21" max="21" width="4" style="79" customWidth="1"/>
    <col min="22" max="22" width="16.7142857142857" style="79" customWidth="1"/>
    <col min="23" max="23" width="4" style="79" customWidth="1"/>
    <col min="24" max="24" width="16.7142857142857" style="79" customWidth="1"/>
    <col min="25" max="25" width="15" style="79" customWidth="1"/>
    <col min="26" max="26" width="9.14285714285714" style="79"/>
    <col min="27" max="66" width="9.14285714285714" style="197"/>
    <col min="67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36"/>
    </row>
    <row r="2" ht="11.25" customHeight="1" spans="1:25">
      <c r="A2" s="98"/>
      <c r="B2" s="82"/>
      <c r="C2" s="82"/>
      <c r="D2" s="82"/>
      <c r="E2" s="82"/>
      <c r="F2" s="177"/>
      <c r="G2" s="84">
        <f>IF(COUNTA(MASCHI4[24-mar])=0,0,COUNTA(MASCHI4[24-mar]))</f>
        <v>4</v>
      </c>
      <c r="H2" s="84">
        <f>IF(COUNTA(MASCHI4[14-apr])=0,0,COUNTA(MASCHI4[14-apr]))</f>
        <v>4</v>
      </c>
      <c r="I2" s="84">
        <f>IF(COUNTA(MASCHI4[data3])=0,0,COUNTA(MASCHI4[data3]))</f>
        <v>0</v>
      </c>
      <c r="J2" s="84">
        <f>IF(COUNTA(MASCHI4[data4])=0,0,COUNTA(MASCHI4[data4]))</f>
        <v>0</v>
      </c>
      <c r="K2" s="84">
        <f>IF(COUNTA(MASCHI4[data5])=0,0,COUNTA(MASCHI4[data5]))</f>
        <v>0</v>
      </c>
      <c r="L2" s="84">
        <f>IF(COUNTA(MASCHI4[data6])=0,0,COUNTA(MASCHI4[data6]))</f>
        <v>0</v>
      </c>
      <c r="M2" s="84">
        <f>IF(COUNTA(MASCHI4[data7])=0,0,COUNTA(MASCHI4[data7]))</f>
        <v>0</v>
      </c>
      <c r="N2" s="84">
        <f>IF(COUNTA(MASCHI4[data8])=0,0,COUNTA(MASCHI4[data8]))</f>
        <v>0</v>
      </c>
      <c r="O2" s="84">
        <f>IF(COUNTA(MASCHI4[data9])=0,0,COUNTA(MASCHI4[data9]))</f>
        <v>0</v>
      </c>
      <c r="P2" s="84">
        <f>IF(COUNTA(MASCHI4[data10])=0,0,COUNTA(MASCHI4[data10]))</f>
        <v>0</v>
      </c>
      <c r="Q2" s="84">
        <f>IF(COUNTA(MASCHI4[data11])=0,0,COUNTA(MASCHI4[data11]))</f>
        <v>0</v>
      </c>
      <c r="R2" s="84">
        <f>IF(COUNTA(MASCHI4[data12])=0,0,COUNTA(MASCHI4[data12]))</f>
        <v>0</v>
      </c>
      <c r="S2" s="84">
        <f>IF(COUNTA(MASCHI4[data13])=0,0,COUNTA(MASCHI4[data13]))</f>
        <v>0</v>
      </c>
      <c r="T2" s="84"/>
      <c r="U2" s="84"/>
      <c r="V2" s="84">
        <f>IF(COUNTA(MASCHI4[data13])=0,0,COUNTA(MASCHI4[data13]))</f>
        <v>0</v>
      </c>
      <c r="W2" s="83"/>
      <c r="X2" s="83"/>
      <c r="Y2" s="83"/>
    </row>
    <row r="3" ht="11.2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 t="shared" ref="H3:S3" si="0">IF(H2=0,0,1)</f>
        <v>1</v>
      </c>
      <c r="I3" s="84">
        <f t="shared" si="0"/>
        <v>0</v>
      </c>
      <c r="J3" s="84">
        <f t="shared" si="0"/>
        <v>0</v>
      </c>
      <c r="K3" s="84">
        <f t="shared" si="0"/>
        <v>0</v>
      </c>
      <c r="L3" s="84">
        <f t="shared" si="0"/>
        <v>0</v>
      </c>
      <c r="M3" s="84">
        <f t="shared" si="0"/>
        <v>0</v>
      </c>
      <c r="N3" s="84">
        <f t="shared" si="0"/>
        <v>0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2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198" t="s">
        <v>55</v>
      </c>
      <c r="B4" s="199"/>
      <c r="C4" s="199"/>
      <c r="D4" s="199"/>
      <c r="E4" s="200"/>
      <c r="F4" s="201"/>
      <c r="G4" s="202" t="s">
        <v>2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29"/>
    </row>
    <row r="5" customHeight="1" spans="1:25">
      <c r="A5" s="204"/>
      <c r="B5" s="205"/>
      <c r="C5" s="205"/>
      <c r="D5" s="205"/>
      <c r="E5" s="206"/>
      <c r="F5" s="207"/>
      <c r="G5" s="208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30"/>
    </row>
    <row r="6" customHeight="1" spans="1:25">
      <c r="A6" s="98"/>
      <c r="B6" s="178"/>
      <c r="C6" s="178"/>
      <c r="D6" s="178"/>
      <c r="E6" s="178"/>
      <c r="F6" s="178"/>
      <c r="G6" s="210" t="s">
        <v>3</v>
      </c>
      <c r="H6" s="210" t="s">
        <v>4</v>
      </c>
      <c r="I6" s="210" t="s">
        <v>5</v>
      </c>
      <c r="J6" s="210" t="s">
        <v>6</v>
      </c>
      <c r="K6" s="210" t="s">
        <v>7</v>
      </c>
      <c r="L6" s="210" t="s">
        <v>8</v>
      </c>
      <c r="M6" s="210" t="s">
        <v>9</v>
      </c>
      <c r="N6" s="210" t="s">
        <v>10</v>
      </c>
      <c r="O6" s="210" t="s">
        <v>11</v>
      </c>
      <c r="P6" s="210" t="s">
        <v>12</v>
      </c>
      <c r="Q6" s="210" t="s">
        <v>13</v>
      </c>
      <c r="R6" s="210" t="s">
        <v>14</v>
      </c>
      <c r="S6" s="219" t="s">
        <v>15</v>
      </c>
      <c r="T6" s="220"/>
      <c r="U6" s="119"/>
      <c r="V6" s="221" t="s">
        <v>16</v>
      </c>
      <c r="W6" s="119"/>
      <c r="X6" s="121" t="s">
        <v>17</v>
      </c>
      <c r="Y6" s="139" t="s">
        <v>18</v>
      </c>
    </row>
    <row r="7" customHeight="1" spans="1:31">
      <c r="A7" s="98"/>
      <c r="B7" s="178"/>
      <c r="C7" s="178"/>
      <c r="D7" s="178"/>
      <c r="E7" s="178"/>
      <c r="F7" s="178"/>
      <c r="G7" s="211" t="s">
        <v>19</v>
      </c>
      <c r="H7" s="212" t="s">
        <v>20</v>
      </c>
      <c r="I7" s="212" t="s">
        <v>21</v>
      </c>
      <c r="J7" s="212" t="s">
        <v>21</v>
      </c>
      <c r="K7" s="212" t="s">
        <v>21</v>
      </c>
      <c r="L7" s="212" t="s">
        <v>21</v>
      </c>
      <c r="M7" s="212" t="s">
        <v>21</v>
      </c>
      <c r="N7" s="212" t="s">
        <v>21</v>
      </c>
      <c r="O7" s="212" t="s">
        <v>21</v>
      </c>
      <c r="P7" s="212" t="s">
        <v>21</v>
      </c>
      <c r="Q7" s="212" t="s">
        <v>21</v>
      </c>
      <c r="R7" s="212" t="s">
        <v>21</v>
      </c>
      <c r="S7" s="222" t="s">
        <v>21</v>
      </c>
      <c r="T7" s="223"/>
      <c r="U7" s="124"/>
      <c r="V7" s="224"/>
      <c r="W7" s="124"/>
      <c r="X7" s="121"/>
      <c r="Y7" s="139"/>
      <c r="Z7" s="140"/>
      <c r="AA7" s="145"/>
      <c r="AB7" s="145"/>
      <c r="AC7" s="145"/>
      <c r="AD7" s="145"/>
      <c r="AE7" s="145"/>
    </row>
    <row r="8" s="78" customFormat="1" customHeight="1" spans="1:66">
      <c r="A8" s="103" t="s">
        <v>22</v>
      </c>
      <c r="B8" s="103" t="s">
        <v>23</v>
      </c>
      <c r="C8" s="104" t="s">
        <v>24</v>
      </c>
      <c r="D8" s="104" t="s">
        <v>25</v>
      </c>
      <c r="E8" s="103" t="s">
        <v>26</v>
      </c>
      <c r="F8" s="104" t="s">
        <v>21</v>
      </c>
      <c r="G8" s="237" t="s">
        <v>27</v>
      </c>
      <c r="H8" s="238" t="s">
        <v>28</v>
      </c>
      <c r="I8" s="238" t="s">
        <v>29</v>
      </c>
      <c r="J8" s="238" t="s">
        <v>30</v>
      </c>
      <c r="K8" s="238" t="s">
        <v>31</v>
      </c>
      <c r="L8" s="238" t="s">
        <v>32</v>
      </c>
      <c r="M8" s="238" t="s">
        <v>33</v>
      </c>
      <c r="N8" s="238" t="s">
        <v>34</v>
      </c>
      <c r="O8" s="238" t="s">
        <v>35</v>
      </c>
      <c r="P8" s="238" t="s">
        <v>36</v>
      </c>
      <c r="Q8" s="238" t="s">
        <v>37</v>
      </c>
      <c r="R8" s="238" t="s">
        <v>38</v>
      </c>
      <c r="S8" s="239" t="s">
        <v>39</v>
      </c>
      <c r="T8" s="226" t="s">
        <v>40</v>
      </c>
      <c r="U8" s="127" t="s">
        <v>41</v>
      </c>
      <c r="V8" s="240" t="s">
        <v>42</v>
      </c>
      <c r="W8" s="129" t="s">
        <v>43</v>
      </c>
      <c r="X8" s="130" t="s">
        <v>44</v>
      </c>
      <c r="Y8" s="141" t="s">
        <v>45</v>
      </c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</row>
    <row r="9" customHeight="1" spans="1:26">
      <c r="A9" s="214">
        <v>1</v>
      </c>
      <c r="B9" s="107" t="s">
        <v>56</v>
      </c>
      <c r="C9" s="108">
        <v>2012</v>
      </c>
      <c r="D9" s="108" t="s">
        <v>53</v>
      </c>
      <c r="E9" s="109">
        <f>IF(COUNTA(G9:S9)+COUNTA(V9:V9)=0,"",COUNTA(G9:S9)+COUNTA(V9:V9))</f>
        <v>2</v>
      </c>
      <c r="F9" s="110" t="s">
        <v>57</v>
      </c>
      <c r="G9" s="111">
        <v>2</v>
      </c>
      <c r="H9" s="108">
        <v>3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87">
        <f>IF(IF(MASCHI4[[#This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9" s="227">
        <f>AVERAGE(MASCHI[[#This Row],[24-mar]:[data13]])</f>
        <v>1.5</v>
      </c>
      <c r="V9" s="133"/>
      <c r="W9" s="134"/>
      <c r="X9" s="13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162</v>
      </c>
      <c r="Y9" s="73">
        <f>IFERROR(IF(E9=0,"",X9/E9),"")</f>
        <v>81</v>
      </c>
      <c r="Z9" s="142"/>
    </row>
    <row r="10" customHeight="1" spans="1:26">
      <c r="A10" s="214">
        <f>IF(A9="Elenco",1,IF(B10="","",A9+1))</f>
        <v>2</v>
      </c>
      <c r="B10" s="107" t="s">
        <v>58</v>
      </c>
      <c r="C10" s="108">
        <v>2013</v>
      </c>
      <c r="D10" s="108" t="s">
        <v>47</v>
      </c>
      <c r="E10" s="109">
        <f>IF(COUNTA(G10:S10)+COUNTA(V10:V10)=0,"",COUNTA(G10:S10)+COUNTA(V10:V10))</f>
        <v>2</v>
      </c>
      <c r="F10" s="110" t="s">
        <v>59</v>
      </c>
      <c r="G10" s="111">
        <v>5</v>
      </c>
      <c r="H10" s="108">
        <v>2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87">
        <f>IF(IF(MASCHI4[[#This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149</v>
      </c>
      <c r="U10" s="227">
        <f>AVERAGE(MASCHI[[#This Row],[24-mar]:[data13]])</f>
        <v>3</v>
      </c>
      <c r="V10" s="133"/>
      <c r="W10" s="134"/>
      <c r="X10" s="13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149</v>
      </c>
      <c r="Y10" s="73">
        <f>IFERROR(IF(E10=0,"",X10/E10),"")</f>
        <v>74.5</v>
      </c>
      <c r="Z10" s="142"/>
    </row>
    <row r="11" customHeight="1" spans="1:26">
      <c r="A11" s="214">
        <f>IF(A10="Elenco",1,IF(B11="","",A10+1))</f>
        <v>3</v>
      </c>
      <c r="B11" s="107" t="s">
        <v>60</v>
      </c>
      <c r="C11" s="108">
        <v>2012</v>
      </c>
      <c r="D11" s="108" t="s">
        <v>53</v>
      </c>
      <c r="E11" s="109">
        <f>IF(COUNTA(G11:S11)+COUNTA(V11:V11)=0,"",COUNTA(G11:S11)+COUNTA(V11:V11))</f>
        <v>2</v>
      </c>
      <c r="F11" s="110" t="s">
        <v>48</v>
      </c>
      <c r="G11" s="108">
        <v>7</v>
      </c>
      <c r="H11" s="108">
        <v>1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87">
        <f>IF(IF(MASCHI4[[#This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150</v>
      </c>
      <c r="U11" s="227">
        <f>AVERAGE(MASCHI4[[#This Row],[24-mar]:[data13]])</f>
        <v>4</v>
      </c>
      <c r="V11" s="133"/>
      <c r="W11" s="134"/>
      <c r="X11" s="13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150</v>
      </c>
      <c r="Y11" s="73">
        <f>IFERROR(IF(E11=0,"",X11/E11),"")</f>
        <v>75</v>
      </c>
      <c r="Z11" s="142"/>
    </row>
    <row r="12" customHeight="1" spans="1:26">
      <c r="A12" s="215">
        <f>IF(A11="Elenco",1,IF(B12="","",A11+1))</f>
        <v>4</v>
      </c>
      <c r="B12" s="107" t="s">
        <v>61</v>
      </c>
      <c r="C12" s="108">
        <v>2012</v>
      </c>
      <c r="D12" s="108" t="s">
        <v>62</v>
      </c>
      <c r="E12" s="109">
        <f>IF(COUNTA(G12:S12)+COUNTA(V12:V12)=0,"",COUNTA(G12:S12)+COUNTA(V12:V12))</f>
        <v>1</v>
      </c>
      <c r="F12" s="110" t="s">
        <v>20</v>
      </c>
      <c r="G12" s="108"/>
      <c r="H12" s="108">
        <v>5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87">
        <f>IF(IF(MASCHI4[[#This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2" s="227">
        <f>AVERAGE(MASCHI4[[#This Row],[24-mar]:[data13]])</f>
        <v>5</v>
      </c>
      <c r="V12" s="133"/>
      <c r="W12" s="134"/>
      <c r="X12" s="135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64</v>
      </c>
      <c r="Y12" s="73">
        <f>IFERROR(IF(E12=0,"",X12/E12),"")</f>
        <v>64</v>
      </c>
      <c r="Z12" s="142"/>
    </row>
    <row r="13" customHeight="1" spans="1:26">
      <c r="A13" s="214">
        <f>IF(A12="Elenco",1,IF(B13="","",A12+1))</f>
        <v>5</v>
      </c>
      <c r="B13" s="107" t="s">
        <v>63</v>
      </c>
      <c r="C13" s="108">
        <v>2013</v>
      </c>
      <c r="D13" s="108" t="s">
        <v>53</v>
      </c>
      <c r="E13" s="109">
        <f>IF(COUNTA(G13:S13)+COUNTA(V13:V13)=0,"",COUNTA(G13:S13)+COUNTA(V13:V13))</f>
        <v>1</v>
      </c>
      <c r="F13" s="110" t="s">
        <v>64</v>
      </c>
      <c r="G13" s="216">
        <v>6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187">
        <f>IF(IF(MASCHI4[[#This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Row],[data3]]&lt;&gt;0,LOOKUP(MASCHI4[[#This Row],[data3]],Tabella4[1],Tabella4[100]),0)+IF(MASCHI4[[#This Row],[data4]]&lt;&gt;0,LOOKUP(MASCHI4[[#This Row],[data4]],Tabella4[1],Tabella4[100]),0)+IF(MASCHI4[[#This Row],[data5]]&lt;&gt;0,LOOKUP(MASCHI4[[#This Row],[data5]],Tabella4[1],Tabella4[100]),0)+IF(MASCHI4[[#This Row],[data6]]&lt;&gt;0,LOOKUP(MASCHI4[[#This Row],[data6]],Tabella4[1],Tabella4[100]),0)+IF(MASCHI4[[#This Row],[data7]]&lt;&gt;0,LOOKUP(MASCHI4[[#This Row],[data7]],Tabella4[1],Tabella4[100]),0)+IF(MASCHI4[[#This Row],[data8]]&lt;&gt;0,LOOKUP(MASCHI4[[#This Row],[data8]],Tabella4[1],Tabella4[100]),0)+IF(MASCHI4[[#This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59</v>
      </c>
      <c r="U13" s="228">
        <f>AVERAGE(MASCHI4[[#This Row],[24-mar]:[data13]])</f>
        <v>6</v>
      </c>
      <c r="V13" s="189"/>
      <c r="W13" s="190"/>
      <c r="X13" s="19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59</v>
      </c>
      <c r="Y13" s="192">
        <f>IFERROR(IF(E13=0,"",X13/E13),"")</f>
        <v>59</v>
      </c>
      <c r="Z13" s="142"/>
    </row>
    <row r="14" customHeight="1" spans="6:6">
      <c r="F14" s="183"/>
    </row>
    <row r="15" customHeight="1" spans="1:6">
      <c r="A15" s="112"/>
      <c r="B15" s="113"/>
      <c r="F15" s="183"/>
    </row>
    <row r="16" customHeight="1" spans="1:2">
      <c r="A16" s="112"/>
      <c r="B16" s="113"/>
    </row>
    <row r="17" customHeight="1" spans="1:2">
      <c r="A17" s="112"/>
      <c r="B17" s="113"/>
    </row>
    <row r="18" customHeight="1" spans="1:16">
      <c r="A18" s="112"/>
      <c r="B18" s="113"/>
      <c r="L18" s="218"/>
      <c r="M18" s="218"/>
      <c r="N18" s="218"/>
      <c r="O18" s="218"/>
      <c r="P18" s="218"/>
    </row>
    <row r="19" customHeight="1" spans="1:16">
      <c r="A19" s="112"/>
      <c r="B19" s="113"/>
      <c r="L19" s="218"/>
      <c r="M19" s="218"/>
      <c r="N19" s="218"/>
      <c r="O19" s="218"/>
      <c r="P19" s="218"/>
    </row>
    <row r="20" customHeight="1" spans="1:2">
      <c r="A20" s="112"/>
      <c r="B20" s="113"/>
    </row>
    <row r="21" customHeight="1" spans="1:2">
      <c r="A21" s="112"/>
      <c r="B21" s="113"/>
    </row>
    <row r="22" customHeight="1" spans="1:2">
      <c r="A22" s="112"/>
      <c r="B22" s="113"/>
    </row>
    <row r="23" customHeight="1" spans="1:2">
      <c r="A23" s="112"/>
      <c r="B23" s="113"/>
    </row>
    <row r="24" customHeight="1" spans="1:11">
      <c r="A24" s="112"/>
      <c r="B24" s="113"/>
      <c r="G24" s="217"/>
      <c r="H24" s="217"/>
      <c r="I24" s="217"/>
      <c r="J24" s="217"/>
      <c r="K24" s="217"/>
    </row>
    <row r="25" customHeight="1" spans="1:11">
      <c r="A25" s="112"/>
      <c r="B25" s="113"/>
      <c r="G25" s="217"/>
      <c r="H25" s="217"/>
      <c r="I25" s="217"/>
      <c r="J25" s="217"/>
      <c r="K25" s="217"/>
    </row>
    <row r="26" customHeight="1" spans="1:2">
      <c r="A26" s="112"/>
      <c r="B26" s="113"/>
    </row>
    <row r="27" customHeight="1" spans="1:2">
      <c r="A27" s="112"/>
      <c r="B27" s="113"/>
    </row>
    <row r="28" customHeight="1" spans="1:2">
      <c r="A28" s="112"/>
      <c r="B28" s="113"/>
    </row>
    <row r="29" customHeight="1" spans="1:2">
      <c r="A29" s="112"/>
      <c r="B29" s="113"/>
    </row>
    <row r="30" customHeight="1" spans="1:2">
      <c r="A30" s="112"/>
      <c r="B30" s="113"/>
    </row>
    <row r="31" customHeight="1" spans="1:2">
      <c r="A31" s="112"/>
      <c r="B31" s="113"/>
    </row>
    <row r="32" customHeight="1" spans="1:2">
      <c r="A32" s="112"/>
      <c r="B32" s="113"/>
    </row>
    <row r="33" customHeight="1" spans="1:2">
      <c r="A33" s="112"/>
      <c r="B33" s="113"/>
    </row>
    <row r="34" customHeight="1" spans="1:2">
      <c r="A34" s="112"/>
      <c r="B34" s="113"/>
    </row>
    <row r="35" customHeight="1" spans="1:2">
      <c r="A35" s="112"/>
      <c r="B35" s="113"/>
    </row>
    <row r="36" customHeight="1" spans="1:2">
      <c r="A36" s="112"/>
      <c r="B36" s="113"/>
    </row>
    <row r="37" customHeight="1" spans="1:2">
      <c r="A37" s="112"/>
      <c r="B37" s="113"/>
    </row>
    <row r="38" customHeight="1" spans="1:2">
      <c r="A38" s="112"/>
      <c r="B38" s="113"/>
    </row>
    <row r="39" customHeight="1" spans="1:6">
      <c r="A39" s="112"/>
      <c r="B39" s="113"/>
      <c r="F39" s="183"/>
    </row>
    <row r="40" customHeight="1" spans="1:6">
      <c r="A40" s="112"/>
      <c r="B40" s="113"/>
      <c r="F40" s="183"/>
    </row>
    <row r="41" customHeight="1" spans="1:6">
      <c r="A41" s="112"/>
      <c r="B41" s="113"/>
      <c r="F41" s="183"/>
    </row>
    <row r="42" customHeight="1" spans="1:6">
      <c r="A42" s="112"/>
      <c r="B42" s="113"/>
      <c r="F42" s="183"/>
    </row>
    <row r="43" customHeight="1" spans="1:6">
      <c r="A43" s="112"/>
      <c r="B43" s="113"/>
      <c r="F43" s="183"/>
    </row>
    <row r="44" customHeight="1" spans="1:6">
      <c r="A44" s="112"/>
      <c r="B44" s="113"/>
      <c r="F44" s="183"/>
    </row>
    <row r="45" customHeight="1" spans="1:6">
      <c r="A45" s="112"/>
      <c r="B45" s="113"/>
      <c r="F45" s="183"/>
    </row>
    <row r="46" customHeight="1" spans="1:6">
      <c r="A46" s="112"/>
      <c r="B46" s="113"/>
      <c r="F46" s="183"/>
    </row>
    <row r="47" customHeight="1" spans="1:6">
      <c r="A47" s="112"/>
      <c r="B47" s="113"/>
      <c r="F47" s="183"/>
    </row>
    <row r="48" customHeight="1" spans="1:6">
      <c r="A48" s="112"/>
      <c r="B48" s="113"/>
      <c r="F48" s="183"/>
    </row>
    <row r="49" customHeight="1" spans="1:6">
      <c r="A49" s="112"/>
      <c r="B49" s="113"/>
      <c r="F49" s="183"/>
    </row>
    <row r="50" customHeight="1" spans="1:6">
      <c r="A50" s="112"/>
      <c r="B50" s="113"/>
      <c r="F50" s="183"/>
    </row>
    <row r="51" customHeight="1" spans="1:6">
      <c r="A51" s="112"/>
      <c r="B51" s="113"/>
      <c r="F51" s="183"/>
    </row>
    <row r="52" customHeight="1" spans="1:6">
      <c r="A52" s="112"/>
      <c r="B52" s="113"/>
      <c r="F52" s="183"/>
    </row>
    <row r="53" customHeight="1" spans="1:6">
      <c r="A53" s="112"/>
      <c r="B53" s="113"/>
      <c r="F53" s="183"/>
    </row>
    <row r="54" customHeight="1" spans="1:6">
      <c r="A54" s="112"/>
      <c r="B54" s="113"/>
      <c r="F54" s="183"/>
    </row>
    <row r="55" customHeight="1" spans="1:6">
      <c r="A55" s="112"/>
      <c r="B55" s="113"/>
      <c r="F55" s="183"/>
    </row>
    <row r="56" customHeight="1" spans="1:6">
      <c r="A56" s="112"/>
      <c r="B56" s="113"/>
      <c r="F56" s="183"/>
    </row>
    <row r="57" customHeight="1" spans="1:6">
      <c r="A57" s="112"/>
      <c r="B57" s="113"/>
      <c r="F57" s="183"/>
    </row>
    <row r="58" customHeight="1" spans="1:6">
      <c r="A58" s="112"/>
      <c r="B58" s="113"/>
      <c r="F58" s="183"/>
    </row>
    <row r="59" customHeight="1" spans="1:6">
      <c r="A59" s="112"/>
      <c r="B59" s="113"/>
      <c r="F59" s="183"/>
    </row>
    <row r="60" customHeight="1" spans="1:6">
      <c r="A60" s="112"/>
      <c r="B60" s="113"/>
      <c r="F60" s="183"/>
    </row>
    <row r="61" customHeight="1" spans="1:6">
      <c r="A61" s="112"/>
      <c r="B61" s="113"/>
      <c r="F61" s="183"/>
    </row>
    <row r="62" customHeight="1" spans="1:6">
      <c r="A62" s="112"/>
      <c r="B62" s="113"/>
      <c r="F62" s="183"/>
    </row>
    <row r="63" customHeight="1" spans="1:6">
      <c r="A63" s="112"/>
      <c r="B63" s="113"/>
      <c r="F63" s="183"/>
    </row>
    <row r="64" customHeight="1" spans="1:6">
      <c r="A64" s="112"/>
      <c r="B64" s="113"/>
      <c r="F64" s="183"/>
    </row>
    <row r="65" customHeight="1" spans="1:6">
      <c r="A65" s="112"/>
      <c r="B65" s="113"/>
      <c r="F65" s="183"/>
    </row>
    <row r="66" customHeight="1" spans="1:6">
      <c r="A66" s="112"/>
      <c r="B66" s="113"/>
      <c r="F66" s="183"/>
    </row>
    <row r="67" customHeight="1" spans="1:6">
      <c r="A67" s="112"/>
      <c r="B67" s="113"/>
      <c r="F67" s="183"/>
    </row>
    <row r="68" customHeight="1" spans="1:6">
      <c r="A68" s="112"/>
      <c r="B68" s="113"/>
      <c r="F68" s="183"/>
    </row>
    <row r="69" customHeight="1" spans="1:6">
      <c r="A69" s="112"/>
      <c r="B69" s="113"/>
      <c r="F69" s="183"/>
    </row>
    <row r="70" customHeight="1" spans="1:6">
      <c r="A70" s="112"/>
      <c r="B70" s="113"/>
      <c r="F70" s="183"/>
    </row>
    <row r="71" customHeight="1" spans="1:6">
      <c r="A71" s="112"/>
      <c r="B71" s="113"/>
      <c r="F71" s="183"/>
    </row>
    <row r="72" customHeight="1" spans="1:6">
      <c r="A72" s="112"/>
      <c r="B72" s="113"/>
      <c r="F72" s="183"/>
    </row>
    <row r="73" customHeight="1" spans="1:6">
      <c r="A73" s="112"/>
      <c r="B73" s="113"/>
      <c r="F73" s="183"/>
    </row>
    <row r="74" customHeight="1" spans="1:6">
      <c r="A74" s="112"/>
      <c r="B74" s="113"/>
      <c r="F74" s="183"/>
    </row>
    <row r="75" customHeight="1" spans="1:6">
      <c r="A75" s="112"/>
      <c r="B75" s="113"/>
      <c r="F75" s="183"/>
    </row>
    <row r="76" customHeight="1" spans="1:6">
      <c r="A76" s="112"/>
      <c r="B76" s="113"/>
      <c r="F76" s="183"/>
    </row>
    <row r="77" customHeight="1" spans="1:6">
      <c r="A77" s="112"/>
      <c r="B77" s="113"/>
      <c r="F77" s="183"/>
    </row>
    <row r="78" customHeight="1" spans="1:6">
      <c r="A78" s="112"/>
      <c r="B78" s="113"/>
      <c r="F78" s="183"/>
    </row>
    <row r="79" customHeight="1" spans="1:6">
      <c r="A79" s="112"/>
      <c r="B79" s="113"/>
      <c r="F79" s="183"/>
    </row>
    <row r="80" customHeight="1" spans="1:6">
      <c r="A80" s="112"/>
      <c r="B80" s="113"/>
      <c r="F80" s="183"/>
    </row>
    <row r="81" customHeight="1" spans="1:6">
      <c r="A81" s="112"/>
      <c r="B81" s="113"/>
      <c r="F81" s="183"/>
    </row>
    <row r="82" customHeight="1" spans="1:22">
      <c r="A82" s="112"/>
      <c r="B82" s="113"/>
      <c r="E82" s="159"/>
      <c r="F82" s="158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</row>
    <row r="83" customHeight="1" spans="1:22">
      <c r="A83" s="112"/>
      <c r="B83" s="113"/>
      <c r="E83" s="159"/>
      <c r="F83" s="158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</row>
    <row r="84" customHeight="1" spans="1:22">
      <c r="A84" s="112"/>
      <c r="E84" s="159"/>
      <c r="F84" s="193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9"/>
      <c r="U84" s="197"/>
      <c r="V84" s="197"/>
    </row>
    <row r="85" customHeight="1" spans="1:22">
      <c r="A85" s="112"/>
      <c r="E85" s="159"/>
      <c r="F85" s="193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97"/>
      <c r="U85" s="197"/>
      <c r="V85" s="144"/>
    </row>
    <row r="86" customHeight="1" spans="1:22">
      <c r="A86" s="112"/>
      <c r="E86" s="159"/>
      <c r="F86" s="193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97"/>
      <c r="U86" s="197"/>
      <c r="V86" s="144"/>
    </row>
    <row r="87" customHeight="1" spans="1:22">
      <c r="A87" s="112"/>
      <c r="E87" s="159"/>
      <c r="F87" s="193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59"/>
      <c r="U87" s="197"/>
      <c r="V87" s="158"/>
    </row>
    <row r="88" customHeight="1" spans="1:22">
      <c r="A88" s="112"/>
      <c r="E88" s="159"/>
      <c r="F88" s="159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58"/>
    </row>
    <row r="89" customHeight="1" spans="1:22">
      <c r="A89" s="112"/>
      <c r="E89" s="159"/>
      <c r="F89" s="159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</row>
    <row r="90" customHeight="1" spans="1:22">
      <c r="A90" s="112"/>
      <c r="B90" s="145"/>
      <c r="E90" s="232"/>
      <c r="F90" s="159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</row>
    <row r="91" customHeight="1" spans="1:22">
      <c r="A91" s="112"/>
      <c r="B91" s="148"/>
      <c r="C91" s="149"/>
      <c r="D91" s="149"/>
      <c r="E91" s="233"/>
      <c r="F91" s="195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</row>
    <row r="92" customHeight="1" spans="1:22">
      <c r="A92" s="112"/>
      <c r="B92" s="196"/>
      <c r="C92" s="153"/>
      <c r="D92" s="153"/>
      <c r="E92" s="234"/>
      <c r="F92" s="155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</row>
    <row r="93" customHeight="1" spans="1:22">
      <c r="A93" s="112"/>
      <c r="E93" s="159"/>
      <c r="F93" s="159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</row>
    <row r="94" customHeight="1" spans="1:22">
      <c r="A94" s="112"/>
      <c r="E94" s="159"/>
      <c r="F94" s="159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</row>
    <row r="95" customHeight="1" spans="1:22">
      <c r="A95" s="112"/>
      <c r="E95" s="159"/>
      <c r="F95" s="159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</row>
    <row r="96" customHeight="1" spans="1:22">
      <c r="A96" s="112"/>
      <c r="E96" s="159"/>
      <c r="F96" s="159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</row>
    <row r="97" customHeight="1" spans="1:22">
      <c r="A97" s="156"/>
      <c r="B97" s="196"/>
      <c r="E97" s="233"/>
      <c r="F97" s="235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</row>
    <row r="98" customHeight="1" spans="1:22">
      <c r="A98" s="156"/>
      <c r="B98" s="196"/>
      <c r="E98" s="233"/>
      <c r="F98" s="235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</row>
    <row r="99" customHeight="1" spans="1:6">
      <c r="A99" s="156"/>
      <c r="B99" s="196"/>
      <c r="E99" s="150"/>
      <c r="F99" s="196"/>
    </row>
    <row r="100" customHeight="1" spans="1:6">
      <c r="A100" s="156"/>
      <c r="B100" s="196"/>
      <c r="E100" s="150"/>
      <c r="F100" s="196"/>
    </row>
    <row r="101" customHeight="1" spans="1:6">
      <c r="A101" s="156"/>
      <c r="B101" s="196"/>
      <c r="E101" s="150"/>
      <c r="F101" s="196"/>
    </row>
    <row r="102" customHeight="1" spans="1:6">
      <c r="A102" s="156"/>
      <c r="B102" s="196"/>
      <c r="E102" s="150"/>
      <c r="F102" s="196"/>
    </row>
    <row r="103" customHeight="1" spans="1:6">
      <c r="A103" s="156"/>
      <c r="B103" s="196"/>
      <c r="E103" s="150"/>
      <c r="F103" s="196"/>
    </row>
    <row r="104" customHeight="1" spans="1:6">
      <c r="A104" s="156"/>
      <c r="B104" s="196"/>
      <c r="E104" s="150"/>
      <c r="F104" s="196"/>
    </row>
    <row r="105" customHeight="1" spans="1:6">
      <c r="A105" s="156"/>
      <c r="B105" s="196"/>
      <c r="E105" s="150"/>
      <c r="F105" s="196"/>
    </row>
    <row r="106" customHeight="1" spans="1:6">
      <c r="A106" s="156"/>
      <c r="B106" s="196"/>
      <c r="E106" s="150"/>
      <c r="F106" s="196"/>
    </row>
    <row r="107" customHeight="1" spans="1:6">
      <c r="A107" s="156"/>
      <c r="B107" s="196"/>
      <c r="E107" s="150"/>
      <c r="F107" s="196"/>
    </row>
    <row r="108" customHeight="1" spans="1:6">
      <c r="A108" s="156"/>
      <c r="B108" s="196"/>
      <c r="E108" s="150"/>
      <c r="F108" s="196"/>
    </row>
    <row r="109" customHeight="1" spans="1:6">
      <c r="A109" s="156"/>
      <c r="B109" s="196"/>
      <c r="E109" s="150"/>
      <c r="F109" s="196"/>
    </row>
    <row r="110" customHeight="1" spans="1:6">
      <c r="A110" s="156"/>
      <c r="B110" s="196"/>
      <c r="E110" s="150"/>
      <c r="F110" s="196"/>
    </row>
    <row r="111" customHeight="1" spans="1:6">
      <c r="A111" s="156"/>
      <c r="B111" s="196"/>
      <c r="E111" s="150"/>
      <c r="F111" s="196"/>
    </row>
    <row r="112" customHeight="1" spans="1:6">
      <c r="A112" s="156"/>
      <c r="B112" s="196"/>
      <c r="E112" s="150"/>
      <c r="F112" s="196"/>
    </row>
    <row r="113" customHeight="1" spans="1:6">
      <c r="A113" s="156"/>
      <c r="B113" s="196"/>
      <c r="E113" s="150"/>
      <c r="F113" s="196"/>
    </row>
    <row r="114" customHeight="1" spans="1:6">
      <c r="A114" s="156"/>
      <c r="B114" s="196"/>
      <c r="E114" s="150"/>
      <c r="F114" s="196"/>
    </row>
    <row r="115" customHeight="1" spans="1:6">
      <c r="A115" s="156"/>
      <c r="B115" s="196"/>
      <c r="E115" s="150"/>
      <c r="F115" s="196"/>
    </row>
    <row r="116" customHeight="1" spans="1:6">
      <c r="A116" s="156"/>
      <c r="B116" s="196"/>
      <c r="E116" s="150"/>
      <c r="F116" s="196"/>
    </row>
    <row r="117" customHeight="1" spans="1:6">
      <c r="A117" s="156"/>
      <c r="B117" s="196"/>
      <c r="E117" s="150"/>
      <c r="F117" s="196"/>
    </row>
    <row r="118" customHeight="1" spans="1:6">
      <c r="A118" s="156"/>
      <c r="B118" s="196"/>
      <c r="E118" s="150"/>
      <c r="F118" s="196"/>
    </row>
    <row r="119" customHeight="1" spans="1:6">
      <c r="A119" s="156"/>
      <c r="B119" s="196"/>
      <c r="E119" s="150"/>
      <c r="F119" s="196"/>
    </row>
    <row r="120" customHeight="1" spans="1:6">
      <c r="A120" s="156"/>
      <c r="B120" s="196"/>
      <c r="E120" s="150"/>
      <c r="F120" s="196"/>
    </row>
    <row r="121" customHeight="1" spans="1:6">
      <c r="A121" s="156"/>
      <c r="B121" s="196"/>
      <c r="E121" s="150"/>
      <c r="F121" s="196"/>
    </row>
    <row r="122" customHeight="1" spans="1:6">
      <c r="A122" s="156"/>
      <c r="B122" s="196"/>
      <c r="E122" s="150"/>
      <c r="F122" s="196"/>
    </row>
    <row r="123" customHeight="1" spans="1:6">
      <c r="A123" s="156"/>
      <c r="B123" s="196"/>
      <c r="E123" s="150"/>
      <c r="F123" s="196"/>
    </row>
    <row r="124" customHeight="1" spans="1:6">
      <c r="A124" s="156"/>
      <c r="B124" s="196"/>
      <c r="E124" s="150"/>
      <c r="F124" s="196"/>
    </row>
    <row r="125" customHeight="1" spans="1:6">
      <c r="A125" s="156"/>
      <c r="B125" s="196"/>
      <c r="E125" s="150"/>
      <c r="F125" s="196"/>
    </row>
    <row r="126" customHeight="1" spans="1:6">
      <c r="A126" s="156"/>
      <c r="B126" s="196"/>
      <c r="E126" s="150"/>
      <c r="F126" s="196"/>
    </row>
    <row r="127" customHeight="1" spans="1:6">
      <c r="A127" s="156"/>
      <c r="B127" s="196"/>
      <c r="E127" s="150"/>
      <c r="F127" s="196"/>
    </row>
    <row r="128" customHeight="1" spans="1:6">
      <c r="A128" s="156"/>
      <c r="B128" s="196"/>
      <c r="E128" s="150"/>
      <c r="F128" s="196"/>
    </row>
    <row r="129" customHeight="1" spans="1:6">
      <c r="A129" s="156"/>
      <c r="B129" s="196"/>
      <c r="E129" s="150"/>
      <c r="F129" s="196"/>
    </row>
    <row r="130" customHeight="1" spans="1:6">
      <c r="A130" s="156"/>
      <c r="B130" s="196"/>
      <c r="E130" s="150"/>
      <c r="F130" s="196"/>
    </row>
    <row r="131" customHeight="1" spans="1:6">
      <c r="A131" s="156"/>
      <c r="B131" s="196"/>
      <c r="E131" s="150"/>
      <c r="F131" s="196"/>
    </row>
    <row r="132" customHeight="1" spans="1:6">
      <c r="A132" s="156"/>
      <c r="B132" s="196"/>
      <c r="E132" s="150"/>
      <c r="F132" s="196"/>
    </row>
    <row r="133" customHeight="1" spans="1:6">
      <c r="A133" s="156"/>
      <c r="B133" s="196"/>
      <c r="E133" s="150"/>
      <c r="F133" s="196"/>
    </row>
    <row r="134" customHeight="1" spans="1:6">
      <c r="A134" s="156"/>
      <c r="B134" s="196"/>
      <c r="E134" s="150"/>
      <c r="F134" s="196"/>
    </row>
    <row r="135" customHeight="1" spans="1:6">
      <c r="A135" s="156"/>
      <c r="B135" s="196"/>
      <c r="E135" s="150"/>
      <c r="F135" s="196"/>
    </row>
    <row r="136" customHeight="1" spans="1:6">
      <c r="A136" s="156"/>
      <c r="B136" s="196"/>
      <c r="E136" s="150"/>
      <c r="F136" s="196"/>
    </row>
    <row r="137" customHeight="1" spans="1:6">
      <c r="A137" s="156"/>
      <c r="B137" s="196"/>
      <c r="E137" s="150"/>
      <c r="F137" s="196"/>
    </row>
    <row r="138" customHeight="1" spans="1:6">
      <c r="A138" s="156"/>
      <c r="B138" s="196"/>
      <c r="E138" s="150"/>
      <c r="F138" s="196"/>
    </row>
    <row r="139" customHeight="1" spans="1:6">
      <c r="A139" s="156"/>
      <c r="B139" s="196"/>
      <c r="E139" s="150"/>
      <c r="F139" s="196"/>
    </row>
    <row r="140" customHeight="1" spans="1:6">
      <c r="A140" s="156"/>
      <c r="B140" s="196"/>
      <c r="E140" s="150"/>
      <c r="F140" s="196"/>
    </row>
    <row r="141" customHeight="1" spans="1:6">
      <c r="A141" s="156"/>
      <c r="B141" s="196"/>
      <c r="E141" s="150"/>
      <c r="F141" s="196"/>
    </row>
    <row r="142" customHeight="1" spans="1:6">
      <c r="A142" s="156"/>
      <c r="B142" s="196"/>
      <c r="E142" s="150"/>
      <c r="F142" s="196"/>
    </row>
    <row r="143" customHeight="1" spans="1:6">
      <c r="A143" s="156"/>
      <c r="B143" s="196"/>
      <c r="E143" s="150"/>
      <c r="F143" s="196"/>
    </row>
    <row r="144" customHeight="1" spans="1:6">
      <c r="A144" s="156"/>
      <c r="B144" s="196"/>
      <c r="E144" s="150"/>
      <c r="F144" s="196"/>
    </row>
    <row r="145" customHeight="1" spans="1:6">
      <c r="A145" s="156"/>
      <c r="B145" s="196"/>
      <c r="E145" s="150"/>
      <c r="F145" s="196"/>
    </row>
    <row r="146" customHeight="1" spans="1:6">
      <c r="A146" s="156"/>
      <c r="B146" s="196"/>
      <c r="E146" s="150"/>
      <c r="F146" s="196"/>
    </row>
    <row r="147" customHeight="1" spans="1:6">
      <c r="A147" s="156"/>
      <c r="B147" s="196"/>
      <c r="E147" s="150"/>
      <c r="F147" s="196"/>
    </row>
    <row r="148" customHeight="1" spans="1:6">
      <c r="A148" s="156"/>
      <c r="B148" s="196"/>
      <c r="E148" s="150"/>
      <c r="F148" s="196"/>
    </row>
    <row r="149" customHeight="1" spans="1:6">
      <c r="A149" s="156"/>
      <c r="B149" s="196"/>
      <c r="E149" s="150"/>
      <c r="F149" s="196"/>
    </row>
    <row r="150" customHeight="1" spans="1:6">
      <c r="A150" s="156"/>
      <c r="B150" s="196"/>
      <c r="E150" s="150"/>
      <c r="F150" s="196"/>
    </row>
    <row r="151" customHeight="1" spans="1:6">
      <c r="A151" s="156"/>
      <c r="B151" s="196"/>
      <c r="E151" s="150"/>
      <c r="F151" s="196"/>
    </row>
    <row r="152" customHeight="1" spans="1:6">
      <c r="A152" s="156"/>
      <c r="B152" s="196"/>
      <c r="E152" s="150"/>
      <c r="F152" s="196"/>
    </row>
    <row r="153" customHeight="1" spans="1:6">
      <c r="A153" s="156"/>
      <c r="B153" s="196"/>
      <c r="E153" s="150"/>
      <c r="F153" s="196"/>
    </row>
    <row r="154" customHeight="1" spans="2:6">
      <c r="B154" s="160"/>
      <c r="C154" s="150"/>
      <c r="D154" s="150"/>
      <c r="E154" s="150"/>
      <c r="F154" s="183"/>
    </row>
    <row r="155" customHeight="1" spans="2:6">
      <c r="B155" s="160"/>
      <c r="C155" s="150"/>
      <c r="D155" s="150"/>
      <c r="E155" s="150"/>
      <c r="F155" s="183"/>
    </row>
    <row r="156" customHeight="1" spans="2:6">
      <c r="B156" s="161"/>
      <c r="C156" s="150"/>
      <c r="D156" s="150"/>
      <c r="E156" s="150"/>
      <c r="F156" s="183"/>
    </row>
    <row r="157" customHeight="1" spans="2:6">
      <c r="B157" s="160"/>
      <c r="C157" s="150"/>
      <c r="D157" s="150"/>
      <c r="E157" s="150"/>
      <c r="F157" s="183"/>
    </row>
    <row r="158" customHeight="1" spans="2:6">
      <c r="B158" s="160"/>
      <c r="C158" s="150"/>
      <c r="D158" s="150"/>
      <c r="E158" s="150"/>
      <c r="F158" s="183"/>
    </row>
    <row r="159" customHeight="1" spans="2:6">
      <c r="B159" s="161"/>
      <c r="C159" s="150"/>
      <c r="D159" s="150"/>
      <c r="E159" s="150"/>
      <c r="F159" s="183"/>
    </row>
    <row r="160" customHeight="1" spans="2:6">
      <c r="B160" s="160"/>
      <c r="C160" s="150"/>
      <c r="D160" s="150"/>
      <c r="E160" s="150"/>
      <c r="F160" s="183"/>
    </row>
    <row r="161" customHeight="1" spans="2:6">
      <c r="B161" s="160"/>
      <c r="C161" s="150"/>
      <c r="D161" s="150"/>
      <c r="E161" s="150"/>
      <c r="F161" s="183"/>
    </row>
    <row r="162" customHeight="1" spans="2:6">
      <c r="B162" s="160"/>
      <c r="C162" s="150"/>
      <c r="D162" s="150"/>
      <c r="E162" s="150"/>
      <c r="F162" s="183"/>
    </row>
    <row r="163" customHeight="1" spans="2:6">
      <c r="B163" s="160"/>
      <c r="C163" s="150"/>
      <c r="D163" s="150"/>
      <c r="E163" s="150"/>
      <c r="F163" s="183"/>
    </row>
    <row r="164" customHeight="1" spans="2:6">
      <c r="B164" s="160"/>
      <c r="C164" s="150"/>
      <c r="D164" s="150"/>
      <c r="E164" s="150"/>
      <c r="F164" s="183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3">
    <cfRule type="containsBlanks" dxfId="25" priority="3">
      <formula>LEN(TRIM(G9))=0</formula>
    </cfRule>
  </conditionalFormatting>
  <dataValidations count="1">
    <dataValidation type="list" allowBlank="1" showInputMessage="1" showErrorMessage="1" sqref="D9:D13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1"/>
  <sheetViews>
    <sheetView zoomScale="50" zoomScaleNormal="50" topLeftCell="A2" workbookViewId="0">
      <selection activeCell="O17" sqref="O17"/>
    </sheetView>
  </sheetViews>
  <sheetFormatPr defaultColWidth="9" defaultRowHeight="25.5" customHeight="1"/>
  <cols>
    <col min="1" max="1" width="10.4285714285714" style="79" customWidth="1"/>
    <col min="2" max="2" width="42.5714285714286" style="115" customWidth="1"/>
    <col min="3" max="3" width="18.8571428571429" style="115" customWidth="1"/>
    <col min="4" max="4" width="13.2857142857143" style="115" customWidth="1"/>
    <col min="5" max="5" width="10.8571428571429" style="115" customWidth="1"/>
    <col min="6" max="6" width="21.4285714285714" style="115" customWidth="1"/>
    <col min="7" max="7" width="15.7142857142857" style="79" customWidth="1"/>
    <col min="8" max="8" width="15.5714285714286" style="79" customWidth="1"/>
    <col min="9" max="9" width="10.4285714285714" style="79" customWidth="1"/>
    <col min="10" max="10" width="10.5714285714286" style="79" customWidth="1"/>
    <col min="11" max="11" width="11" style="79" customWidth="1"/>
    <col min="12" max="13" width="9.42857142857143" style="79" customWidth="1"/>
    <col min="14" max="14" width="8.57142857142857" style="79" customWidth="1"/>
    <col min="15" max="15" width="10.2857142857143" style="79" customWidth="1"/>
    <col min="16" max="16" width="9.57142857142857" style="79" customWidth="1"/>
    <col min="17" max="17" width="10.4285714285714" style="79" customWidth="1"/>
    <col min="18" max="18" width="9.14285714285714" style="79" customWidth="1"/>
    <col min="19" max="19" width="9.85714285714286" style="79" customWidth="1"/>
    <col min="20" max="20" width="15" style="79" customWidth="1"/>
    <col min="21" max="21" width="4.57142857142857" style="79" customWidth="1"/>
    <col min="22" max="22" width="18" style="79" customWidth="1"/>
    <col min="23" max="23" width="4" style="79" customWidth="1"/>
    <col min="24" max="24" width="18" style="79" customWidth="1"/>
    <col min="25" max="25" width="15" style="79" customWidth="1"/>
    <col min="26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36"/>
    </row>
    <row r="2" ht="9.75" customHeight="1" spans="1:25">
      <c r="A2" s="82"/>
      <c r="B2" s="82"/>
      <c r="C2" s="82"/>
      <c r="D2" s="82"/>
      <c r="E2" s="82"/>
      <c r="F2" s="177"/>
      <c r="G2" s="84">
        <f>IF(COUNTA(FEMMINE[24-mar])=0,0,COUNTA(FEMMINE[24-mar]))</f>
        <v>2</v>
      </c>
      <c r="H2" s="84">
        <f>IF(COUNTA(FEMMINE[14-apr])=0,0,COUNTA(FEMMINE[14-apr]))</f>
        <v>4</v>
      </c>
      <c r="I2" s="84">
        <f>IF(COUNTA(FEMMINE[data3])=0,0,COUNTA(FEMMINE[data3]))</f>
        <v>0</v>
      </c>
      <c r="J2" s="84">
        <f>IF(COUNTA(FEMMINE[data4])=0,0,COUNTA(FEMMINE[data4]))</f>
        <v>0</v>
      </c>
      <c r="K2" s="84">
        <f>IF(COUNTA(FEMMINE[data5])=0,0,COUNTA(FEMMINE[data5]))</f>
        <v>0</v>
      </c>
      <c r="L2" s="84">
        <f>IF(COUNTA(FEMMINE[data6])=0,0,COUNTA(FEMMINE[data6]))</f>
        <v>0</v>
      </c>
      <c r="M2" s="84">
        <f>IF(COUNTA(FEMMINE[data7])=0,0,COUNTA(FEMMINE[data7]))</f>
        <v>0</v>
      </c>
      <c r="N2" s="84">
        <f>IF(COUNTA(FEMMINE[data8])=0,0,COUNTA(FEMMINE[data8]))</f>
        <v>0</v>
      </c>
      <c r="O2" s="84">
        <f>IF(COUNTA(FEMMINE[data9])=0,0,COUNTA(FEMMINE[data9]))</f>
        <v>0</v>
      </c>
      <c r="P2" s="84">
        <f>IF(COUNTA(FEMMINE[data10])=0,0,COUNTA(FEMMINE[data10]))</f>
        <v>0</v>
      </c>
      <c r="Q2" s="84">
        <f>IF(COUNTA(FEMMINE[data11])=0,0,COUNTA(FEMMINE[data11]))</f>
        <v>0</v>
      </c>
      <c r="R2" s="84">
        <f>IF(COUNTA(FEMMINE[data12])=0,0,COUNTA(FEMMINE[data12]))</f>
        <v>0</v>
      </c>
      <c r="S2" s="84">
        <f>IF(COUNTA(FEMMINE[data13])=0,0,COUNTA(FEMMINE[data13]))</f>
        <v>0</v>
      </c>
      <c r="T2" s="84"/>
      <c r="U2" s="84"/>
      <c r="V2" s="84">
        <f>IF(COUNTA(FEMMINE[data13])=0,0,COUNTA(FEMMINE[data13]))</f>
        <v>0</v>
      </c>
      <c r="W2" s="83"/>
      <c r="X2" s="83"/>
      <c r="Y2" s="83"/>
    </row>
    <row r="3" ht="9.7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>IF(H2=0,0,1)</f>
        <v>1</v>
      </c>
      <c r="I3" s="84">
        <f t="shared" ref="I3:S3" si="0">IF(I2=0,0,1)</f>
        <v>0</v>
      </c>
      <c r="J3" s="84">
        <f t="shared" si="0"/>
        <v>0</v>
      </c>
      <c r="K3" s="84">
        <f t="shared" si="0"/>
        <v>0</v>
      </c>
      <c r="L3" s="84">
        <f t="shared" si="0"/>
        <v>0</v>
      </c>
      <c r="M3" s="84">
        <f t="shared" si="0"/>
        <v>0</v>
      </c>
      <c r="N3" s="84">
        <f t="shared" si="0"/>
        <v>0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2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86" t="s">
        <v>65</v>
      </c>
      <c r="B4" s="87"/>
      <c r="C4" s="87"/>
      <c r="D4" s="87"/>
      <c r="E4" s="88"/>
      <c r="F4" s="89"/>
      <c r="G4" s="90" t="s">
        <v>2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137"/>
    </row>
    <row r="5" customHeight="1" spans="1:25">
      <c r="A5" s="92"/>
      <c r="B5" s="93"/>
      <c r="C5" s="93"/>
      <c r="D5" s="93"/>
      <c r="E5" s="94"/>
      <c r="F5" s="95"/>
      <c r="G5" s="96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138"/>
    </row>
    <row r="6" customHeight="1" spans="1:31">
      <c r="A6" s="98"/>
      <c r="B6" s="178"/>
      <c r="C6" s="178"/>
      <c r="D6" s="178"/>
      <c r="E6" s="178"/>
      <c r="F6" s="177"/>
      <c r="G6" s="100" t="s">
        <v>3</v>
      </c>
      <c r="H6" s="100" t="s">
        <v>4</v>
      </c>
      <c r="I6" s="100" t="s">
        <v>5</v>
      </c>
      <c r="J6" s="100" t="s">
        <v>6</v>
      </c>
      <c r="K6" s="100" t="s">
        <v>7</v>
      </c>
      <c r="L6" s="100" t="s">
        <v>8</v>
      </c>
      <c r="M6" s="100" t="s">
        <v>9</v>
      </c>
      <c r="N6" s="100" t="s">
        <v>10</v>
      </c>
      <c r="O6" s="100" t="s">
        <v>11</v>
      </c>
      <c r="P6" s="100" t="s">
        <v>12</v>
      </c>
      <c r="Q6" s="100" t="s">
        <v>13</v>
      </c>
      <c r="R6" s="100" t="s">
        <v>14</v>
      </c>
      <c r="S6" s="117" t="s">
        <v>15</v>
      </c>
      <c r="T6" s="118"/>
      <c r="U6" s="119"/>
      <c r="V6" s="120" t="s">
        <v>16</v>
      </c>
      <c r="W6" s="119"/>
      <c r="X6" s="121" t="s">
        <v>17</v>
      </c>
      <c r="Y6" s="139" t="s">
        <v>18</v>
      </c>
      <c r="Z6" s="140"/>
      <c r="AA6" s="140"/>
      <c r="AB6" s="140"/>
      <c r="AC6" s="140"/>
      <c r="AD6" s="140"/>
      <c r="AE6" s="140"/>
    </row>
    <row r="7" s="78" customFormat="1" customHeight="1" spans="1:25">
      <c r="A7" s="98"/>
      <c r="B7" s="178"/>
      <c r="C7" s="178"/>
      <c r="D7" s="178"/>
      <c r="E7" s="178"/>
      <c r="F7" s="177"/>
      <c r="G7" s="102" t="s">
        <v>19</v>
      </c>
      <c r="H7" s="102" t="s">
        <v>20</v>
      </c>
      <c r="I7" s="101" t="s">
        <v>21</v>
      </c>
      <c r="J7" s="101" t="s">
        <v>21</v>
      </c>
      <c r="K7" s="101" t="s">
        <v>21</v>
      </c>
      <c r="L7" s="101" t="s">
        <v>21</v>
      </c>
      <c r="M7" s="101" t="s">
        <v>21</v>
      </c>
      <c r="N7" s="101" t="s">
        <v>21</v>
      </c>
      <c r="O7" s="101" t="s">
        <v>21</v>
      </c>
      <c r="P7" s="101" t="s">
        <v>21</v>
      </c>
      <c r="Q7" s="101" t="s">
        <v>21</v>
      </c>
      <c r="R7" s="101" t="s">
        <v>21</v>
      </c>
      <c r="S7" s="122" t="s">
        <v>21</v>
      </c>
      <c r="T7" s="123"/>
      <c r="U7" s="124"/>
      <c r="V7" s="125"/>
      <c r="W7" s="124"/>
      <c r="X7" s="121"/>
      <c r="Y7" s="139"/>
    </row>
    <row r="8" customHeight="1" spans="1:26">
      <c r="A8" s="103" t="s">
        <v>22</v>
      </c>
      <c r="B8" s="103" t="s">
        <v>23</v>
      </c>
      <c r="C8" s="104" t="s">
        <v>24</v>
      </c>
      <c r="D8" s="104" t="s">
        <v>25</v>
      </c>
      <c r="E8" s="105" t="s">
        <v>26</v>
      </c>
      <c r="F8" s="104" t="s">
        <v>21</v>
      </c>
      <c r="G8" s="241" t="s">
        <v>27</v>
      </c>
      <c r="H8" s="241" t="s">
        <v>28</v>
      </c>
      <c r="I8" s="242" t="s">
        <v>29</v>
      </c>
      <c r="J8" s="242" t="s">
        <v>30</v>
      </c>
      <c r="K8" s="242" t="s">
        <v>31</v>
      </c>
      <c r="L8" s="242" t="s">
        <v>32</v>
      </c>
      <c r="M8" s="242" t="s">
        <v>33</v>
      </c>
      <c r="N8" s="242" t="s">
        <v>34</v>
      </c>
      <c r="O8" s="242" t="s">
        <v>35</v>
      </c>
      <c r="P8" s="242" t="s">
        <v>36</v>
      </c>
      <c r="Q8" s="242" t="s">
        <v>37</v>
      </c>
      <c r="R8" s="242" t="s">
        <v>38</v>
      </c>
      <c r="S8" s="243" t="s">
        <v>39</v>
      </c>
      <c r="T8" s="54" t="s">
        <v>40</v>
      </c>
      <c r="U8" s="127" t="s">
        <v>41</v>
      </c>
      <c r="V8" s="240" t="s">
        <v>42</v>
      </c>
      <c r="W8" s="129" t="s">
        <v>43</v>
      </c>
      <c r="X8" s="130" t="s">
        <v>44</v>
      </c>
      <c r="Y8" s="141" t="s">
        <v>45</v>
      </c>
      <c r="Z8" s="142"/>
    </row>
    <row r="9" customHeight="1" spans="1:26">
      <c r="A9" s="179">
        <f>IF(A8="Elenco",1,IF(B9="","",A8+1))</f>
        <v>1</v>
      </c>
      <c r="B9" s="107" t="s">
        <v>66</v>
      </c>
      <c r="C9" s="108">
        <v>2011</v>
      </c>
      <c r="D9" s="108" t="s">
        <v>47</v>
      </c>
      <c r="E9" s="109">
        <f>IF(COUNTA(G9:S9)+COUNTA(V9:V9)=0,"",COUNTA(G9:S9)+COUNTA(V9:V9))</f>
        <v>2</v>
      </c>
      <c r="F9" s="110" t="s">
        <v>59</v>
      </c>
      <c r="G9" s="111">
        <v>3</v>
      </c>
      <c r="H9" s="111">
        <v>3</v>
      </c>
      <c r="I9" s="184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31">
        <f>IF(IF(FEMMINE[[#This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154</v>
      </c>
      <c r="U9" s="132">
        <f>AVERAGE(FEMMINE[[#This Row],[24-mar]:[data13]])</f>
        <v>3</v>
      </c>
      <c r="V9" s="133"/>
      <c r="W9" s="134"/>
      <c r="X9" s="135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154</v>
      </c>
      <c r="Y9" s="73">
        <f>IFERROR(IF(E9=0,"",X9/E9),"")</f>
        <v>77</v>
      </c>
      <c r="Z9" s="142"/>
    </row>
    <row r="10" customHeight="1" spans="1:26">
      <c r="A10" s="179">
        <f>IF(A9="Elenco",1,IF(B10="","",A9+1))</f>
        <v>2</v>
      </c>
      <c r="B10" s="107" t="s">
        <v>67</v>
      </c>
      <c r="C10" s="108">
        <v>2011</v>
      </c>
      <c r="D10" s="108" t="s">
        <v>47</v>
      </c>
      <c r="E10" s="109">
        <f>IF(COUNTA(G10:S10)+COUNTA(V10:V10)=0,"",COUNTA(G10:S10)+COUNTA(V10:V10))</f>
        <v>1</v>
      </c>
      <c r="F10" s="110" t="s">
        <v>68</v>
      </c>
      <c r="G10" s="111">
        <v>1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86">
        <f>IF(IF(FEMMINE[[#This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95</v>
      </c>
      <c r="U10" s="132">
        <f>AVERAGE(FEMMINE[[#This Row],[24-mar]:[data13]])</f>
        <v>1</v>
      </c>
      <c r="V10" s="133"/>
      <c r="W10" s="134"/>
      <c r="X10" s="135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95</v>
      </c>
      <c r="Y10" s="73">
        <f>IFERROR(IF(E10=0,"",X10/E10),"")</f>
        <v>95</v>
      </c>
      <c r="Z10" s="142"/>
    </row>
    <row r="11" customHeight="1" spans="1:26">
      <c r="A11" s="179">
        <f>IF(A10="Elenco",1,IF(B11="","",A10+1))</f>
        <v>3</v>
      </c>
      <c r="B11" s="107" t="s">
        <v>69</v>
      </c>
      <c r="C11" s="108">
        <v>2011</v>
      </c>
      <c r="D11" s="108" t="s">
        <v>47</v>
      </c>
      <c r="E11" s="109">
        <f>IF(COUNTA(G11:S11)+COUNTA(V11:V11)=0,"",COUNTA(G11:S11)+COUNTA(V11:V11))</f>
        <v>1</v>
      </c>
      <c r="F11" s="180" t="s">
        <v>70</v>
      </c>
      <c r="G11" s="181"/>
      <c r="H11" s="182">
        <v>1</v>
      </c>
      <c r="I11" s="185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7">
        <f>IF(IF(FEMMINE[[#This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95</v>
      </c>
      <c r="U11" s="188">
        <f>AVERAGE(FEMMINE[[#This Row],[24-mar]:[data13]])</f>
        <v>1</v>
      </c>
      <c r="V11" s="189"/>
      <c r="W11" s="190"/>
      <c r="X11" s="191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95</v>
      </c>
      <c r="Y11" s="192">
        <f>IFERROR(IF(E11=0,"",X11/E11),"")</f>
        <v>95</v>
      </c>
      <c r="Z11" s="142"/>
    </row>
    <row r="12" customHeight="1" spans="1:26">
      <c r="A12" s="179">
        <f>IF(A11="Elenco",1,IF(B12="","",A11+1))</f>
        <v>4</v>
      </c>
      <c r="B12" s="107" t="s">
        <v>71</v>
      </c>
      <c r="C12" s="108">
        <v>2010</v>
      </c>
      <c r="D12" s="108" t="s">
        <v>47</v>
      </c>
      <c r="E12" s="109">
        <f>IF(COUNTA(G12:S12)+COUNTA(V12:V12)=0,"",COUNTA(G12:S12)+COUNTA(V12:V12))</f>
        <v>1</v>
      </c>
      <c r="F12" s="180" t="s">
        <v>48</v>
      </c>
      <c r="G12" s="181"/>
      <c r="H12" s="182">
        <v>2</v>
      </c>
      <c r="I12" s="185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7">
        <f>IF(IF(FEMMINE[[#This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85</v>
      </c>
      <c r="U12" s="188">
        <f>AVERAGE(FEMMINE[[#This Row],[24-mar]:[data13]])</f>
        <v>2</v>
      </c>
      <c r="V12" s="189"/>
      <c r="W12" s="190"/>
      <c r="X12" s="191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85</v>
      </c>
      <c r="Y12" s="192">
        <f>IFERROR(IF(E12=0,"",X12/E12),"")</f>
        <v>85</v>
      </c>
      <c r="Z12" s="142"/>
    </row>
    <row r="13" customHeight="1" spans="1:26">
      <c r="A13" s="106">
        <f>IF(A12="Elenco",1,IF(B13="","",A12+1))</f>
        <v>5</v>
      </c>
      <c r="B13" s="107" t="s">
        <v>72</v>
      </c>
      <c r="C13" s="108">
        <v>2010</v>
      </c>
      <c r="D13" s="108"/>
      <c r="E13" s="109">
        <f>IF(COUNTA(G13:S13)+COUNTA(V13:V13)=0,"",COUNTA(G13:S13)+COUNTA(V13:V13))</f>
        <v>1</v>
      </c>
      <c r="F13" s="110" t="s">
        <v>59</v>
      </c>
      <c r="G13" s="181"/>
      <c r="H13" s="181">
        <v>4</v>
      </c>
      <c r="I13" s="185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7">
        <f>IF(IF(FEMMINE[[#This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70</v>
      </c>
      <c r="U13" s="188">
        <f>AVERAGE(FEMMINE[[#This Row],[24-mar]:[data13]])</f>
        <v>4</v>
      </c>
      <c r="V13" s="189"/>
      <c r="W13" s="190"/>
      <c r="X13" s="191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70</v>
      </c>
      <c r="Y13" s="192">
        <f>IFERROR(IF(E13=0,"",X13/E13),"")</f>
        <v>70</v>
      </c>
      <c r="Z13" s="142"/>
    </row>
    <row r="14" customHeight="1" spans="26:26">
      <c r="Z14" s="142"/>
    </row>
    <row r="21" customHeight="1" spans="1:6">
      <c r="A21" s="112"/>
      <c r="B21" s="113"/>
      <c r="F21" s="183"/>
    </row>
    <row r="22" customHeight="1" spans="1:6">
      <c r="A22" s="112"/>
      <c r="B22" s="113"/>
      <c r="F22" s="183"/>
    </row>
    <row r="23" customHeight="1" spans="1:2">
      <c r="A23" s="112"/>
      <c r="B23" s="113"/>
    </row>
    <row r="24" customHeight="1" spans="1:2">
      <c r="A24" s="112"/>
      <c r="B24" s="113"/>
    </row>
    <row r="25" customHeight="1" spans="1:2">
      <c r="A25" s="112"/>
      <c r="B25" s="113"/>
    </row>
    <row r="26" customHeight="1" spans="1:2">
      <c r="A26" s="112"/>
      <c r="B26" s="113"/>
    </row>
    <row r="27" customHeight="1" spans="1:2">
      <c r="A27" s="112"/>
      <c r="B27" s="113"/>
    </row>
    <row r="28" customHeight="1" spans="1:2">
      <c r="A28" s="112"/>
      <c r="B28" s="113"/>
    </row>
    <row r="29" customHeight="1" spans="1:2">
      <c r="A29" s="112"/>
      <c r="B29" s="113"/>
    </row>
    <row r="30" customHeight="1" spans="1:2">
      <c r="A30" s="112"/>
      <c r="B30" s="113"/>
    </row>
    <row r="31" customHeight="1" spans="1:2">
      <c r="A31" s="112"/>
      <c r="B31" s="113"/>
    </row>
    <row r="32" customHeight="1" spans="1:2">
      <c r="A32" s="112"/>
      <c r="B32" s="113"/>
    </row>
    <row r="33" customHeight="1" spans="1:2">
      <c r="A33" s="112"/>
      <c r="B33" s="113"/>
    </row>
    <row r="34" customHeight="1" spans="1:2">
      <c r="A34" s="112"/>
      <c r="B34" s="113"/>
    </row>
    <row r="35" customHeight="1" spans="1:2">
      <c r="A35" s="112"/>
      <c r="B35" s="113"/>
    </row>
    <row r="36" customHeight="1" spans="1:2">
      <c r="A36" s="112"/>
      <c r="B36" s="113"/>
    </row>
    <row r="37" customHeight="1" spans="1:2">
      <c r="A37" s="112"/>
      <c r="B37" s="113"/>
    </row>
    <row r="38" customHeight="1" spans="1:2">
      <c r="A38" s="112"/>
      <c r="B38" s="113"/>
    </row>
    <row r="39" customHeight="1" spans="1:2">
      <c r="A39" s="112"/>
      <c r="B39" s="113"/>
    </row>
    <row r="40" customHeight="1" spans="1:2">
      <c r="A40" s="112"/>
      <c r="B40" s="113"/>
    </row>
    <row r="41" customHeight="1" spans="1:2">
      <c r="A41" s="112"/>
      <c r="B41" s="113"/>
    </row>
    <row r="42" customHeight="1" spans="1:2">
      <c r="A42" s="112"/>
      <c r="B42" s="113"/>
    </row>
    <row r="43" customHeight="1" spans="1:2">
      <c r="A43" s="112"/>
      <c r="B43" s="113"/>
    </row>
    <row r="44" customHeight="1" spans="1:2">
      <c r="A44" s="112"/>
      <c r="B44" s="113"/>
    </row>
    <row r="45" customHeight="1" spans="1:2">
      <c r="A45" s="112"/>
      <c r="B45" s="113"/>
    </row>
    <row r="46" customHeight="1" spans="1:6">
      <c r="A46" s="112"/>
      <c r="B46" s="113"/>
      <c r="F46" s="183"/>
    </row>
    <row r="47" customHeight="1" spans="1:6">
      <c r="A47" s="112"/>
      <c r="B47" s="113"/>
      <c r="F47" s="183"/>
    </row>
    <row r="48" customHeight="1" spans="1:6">
      <c r="A48" s="112"/>
      <c r="B48" s="113"/>
      <c r="F48" s="183"/>
    </row>
    <row r="49" customHeight="1" spans="1:6">
      <c r="A49" s="112"/>
      <c r="B49" s="113"/>
      <c r="F49" s="183"/>
    </row>
    <row r="50" customHeight="1" spans="1:6">
      <c r="A50" s="112"/>
      <c r="B50" s="113"/>
      <c r="F50" s="183"/>
    </row>
    <row r="51" customHeight="1" spans="1:6">
      <c r="A51" s="112"/>
      <c r="B51" s="113"/>
      <c r="F51" s="183"/>
    </row>
    <row r="52" customHeight="1" spans="1:6">
      <c r="A52" s="112"/>
      <c r="B52" s="113"/>
      <c r="F52" s="183"/>
    </row>
    <row r="53" customHeight="1" spans="1:6">
      <c r="A53" s="112"/>
      <c r="B53" s="113"/>
      <c r="F53" s="183"/>
    </row>
    <row r="54" customHeight="1" spans="1:6">
      <c r="A54" s="112"/>
      <c r="B54" s="113"/>
      <c r="F54" s="183"/>
    </row>
    <row r="55" customHeight="1" spans="1:6">
      <c r="A55" s="112"/>
      <c r="B55" s="113"/>
      <c r="F55" s="183"/>
    </row>
    <row r="56" customHeight="1" spans="1:6">
      <c r="A56" s="112"/>
      <c r="B56" s="113"/>
      <c r="F56" s="183"/>
    </row>
    <row r="57" customHeight="1" spans="1:6">
      <c r="A57" s="112"/>
      <c r="B57" s="113"/>
      <c r="F57" s="183"/>
    </row>
    <row r="58" customHeight="1" spans="1:6">
      <c r="A58" s="112"/>
      <c r="B58" s="113"/>
      <c r="F58" s="183"/>
    </row>
    <row r="59" customHeight="1" spans="1:6">
      <c r="A59" s="112"/>
      <c r="B59" s="113"/>
      <c r="F59" s="183"/>
    </row>
    <row r="60" customHeight="1" spans="1:6">
      <c r="A60" s="112"/>
      <c r="B60" s="113"/>
      <c r="F60" s="183"/>
    </row>
    <row r="61" customHeight="1" spans="1:6">
      <c r="A61" s="112"/>
      <c r="B61" s="113"/>
      <c r="F61" s="183"/>
    </row>
    <row r="62" customHeight="1" spans="1:6">
      <c r="A62" s="112"/>
      <c r="B62" s="113"/>
      <c r="F62" s="183"/>
    </row>
    <row r="63" customHeight="1" spans="1:6">
      <c r="A63" s="112"/>
      <c r="B63" s="113"/>
      <c r="F63" s="183"/>
    </row>
    <row r="64" customHeight="1" spans="1:6">
      <c r="A64" s="112"/>
      <c r="B64" s="113"/>
      <c r="F64" s="183"/>
    </row>
    <row r="65" customHeight="1" spans="1:6">
      <c r="A65" s="112"/>
      <c r="B65" s="113"/>
      <c r="F65" s="183"/>
    </row>
    <row r="66" customHeight="1" spans="1:6">
      <c r="A66" s="112"/>
      <c r="B66" s="113"/>
      <c r="F66" s="183"/>
    </row>
    <row r="67" customHeight="1" spans="1:6">
      <c r="A67" s="112"/>
      <c r="B67" s="113"/>
      <c r="F67" s="183"/>
    </row>
    <row r="68" customHeight="1" spans="1:6">
      <c r="A68" s="112"/>
      <c r="B68" s="113"/>
      <c r="F68" s="183"/>
    </row>
    <row r="69" customHeight="1" spans="1:6">
      <c r="A69" s="112"/>
      <c r="B69" s="113"/>
      <c r="F69" s="183"/>
    </row>
    <row r="70" customHeight="1" spans="1:6">
      <c r="A70" s="112"/>
      <c r="B70" s="113"/>
      <c r="F70" s="183"/>
    </row>
    <row r="71" customHeight="1" spans="1:6">
      <c r="A71" s="112"/>
      <c r="B71" s="113"/>
      <c r="F71" s="183"/>
    </row>
    <row r="72" customHeight="1" spans="1:6">
      <c r="A72" s="112"/>
      <c r="B72" s="113"/>
      <c r="F72" s="183"/>
    </row>
    <row r="73" customHeight="1" spans="1:6">
      <c r="A73" s="112"/>
      <c r="B73" s="113"/>
      <c r="F73" s="183"/>
    </row>
    <row r="74" customHeight="1" spans="1:6">
      <c r="A74" s="112"/>
      <c r="B74" s="113"/>
      <c r="F74" s="183"/>
    </row>
    <row r="75" customHeight="1" spans="1:6">
      <c r="A75" s="112"/>
      <c r="B75" s="113"/>
      <c r="F75" s="183"/>
    </row>
    <row r="76" customHeight="1" spans="1:6">
      <c r="A76" s="112"/>
      <c r="B76" s="113"/>
      <c r="F76" s="183"/>
    </row>
    <row r="77" customHeight="1" spans="1:6">
      <c r="A77" s="112"/>
      <c r="B77" s="113"/>
      <c r="F77" s="183"/>
    </row>
    <row r="78" customHeight="1" spans="1:6">
      <c r="A78" s="112"/>
      <c r="B78" s="113"/>
      <c r="F78" s="183"/>
    </row>
    <row r="79" customHeight="1" spans="1:6">
      <c r="A79" s="112"/>
      <c r="B79" s="113"/>
      <c r="F79" s="183"/>
    </row>
    <row r="80" customHeight="1" spans="1:6">
      <c r="A80" s="112"/>
      <c r="B80" s="113"/>
      <c r="F80" s="183"/>
    </row>
    <row r="81" customHeight="1" spans="1:6">
      <c r="A81" s="112"/>
      <c r="B81" s="113"/>
      <c r="F81" s="183"/>
    </row>
    <row r="82" customHeight="1" spans="1:6">
      <c r="A82" s="112"/>
      <c r="B82" s="113"/>
      <c r="F82" s="183"/>
    </row>
    <row r="83" customHeight="1" spans="1:6">
      <c r="A83" s="112"/>
      <c r="B83" s="113"/>
      <c r="F83" s="183"/>
    </row>
    <row r="84" customHeight="1" spans="1:6">
      <c r="A84" s="112"/>
      <c r="B84" s="113"/>
      <c r="F84" s="183"/>
    </row>
    <row r="85" customHeight="1" spans="1:6">
      <c r="A85" s="112"/>
      <c r="B85" s="113"/>
      <c r="F85" s="183"/>
    </row>
    <row r="86" customHeight="1" spans="1:6">
      <c r="A86" s="112"/>
      <c r="B86" s="113"/>
      <c r="F86" s="183"/>
    </row>
    <row r="87" customHeight="1" spans="1:6">
      <c r="A87" s="112"/>
      <c r="B87" s="113"/>
      <c r="F87" s="183"/>
    </row>
    <row r="88" customHeight="1" spans="1:6">
      <c r="A88" s="112"/>
      <c r="B88" s="113"/>
      <c r="F88" s="183"/>
    </row>
    <row r="89" customHeight="1" spans="1:6">
      <c r="A89" s="112"/>
      <c r="B89" s="113"/>
      <c r="F89" s="183"/>
    </row>
    <row r="90" customHeight="1" spans="1:6">
      <c r="A90" s="112"/>
      <c r="B90" s="113"/>
      <c r="F90" s="183"/>
    </row>
    <row r="91" customHeight="1" spans="1:20">
      <c r="A91" s="112"/>
      <c r="F91" s="193"/>
      <c r="G91" s="32"/>
      <c r="H91" s="32"/>
      <c r="I91" s="32"/>
      <c r="J91" s="32"/>
      <c r="K91" s="158"/>
      <c r="L91" s="158"/>
      <c r="M91" s="158"/>
      <c r="N91" s="158"/>
      <c r="O91" s="158"/>
      <c r="P91" s="158"/>
      <c r="Q91" s="158"/>
      <c r="R91" s="158"/>
      <c r="S91" s="32"/>
      <c r="T91" s="159"/>
    </row>
    <row r="92" customHeight="1" spans="1:22">
      <c r="A92" s="112"/>
      <c r="F92" s="193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V92" s="144"/>
    </row>
    <row r="93" customHeight="1" spans="1:22">
      <c r="A93" s="112"/>
      <c r="F93" s="193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V93" s="144"/>
    </row>
    <row r="94" customHeight="1" spans="1:22">
      <c r="A94" s="112"/>
      <c r="F94" s="193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59"/>
      <c r="V94" s="158"/>
    </row>
    <row r="95" customHeight="1" spans="1:22">
      <c r="A95" s="112"/>
      <c r="V95" s="32"/>
    </row>
    <row r="96" customHeight="1" spans="1:1">
      <c r="A96" s="112"/>
    </row>
    <row r="97" customHeight="1" spans="1:5">
      <c r="A97" s="112"/>
      <c r="B97" s="145"/>
      <c r="E97" s="194"/>
    </row>
    <row r="98" customHeight="1" spans="1:6">
      <c r="A98" s="112"/>
      <c r="B98" s="148"/>
      <c r="C98" s="149"/>
      <c r="D98" s="149"/>
      <c r="E98" s="150"/>
      <c r="F98" s="195"/>
    </row>
    <row r="99" customHeight="1" spans="1:6">
      <c r="A99" s="112"/>
      <c r="B99" s="196"/>
      <c r="C99" s="153"/>
      <c r="D99" s="153"/>
      <c r="E99" s="154"/>
      <c r="F99" s="155"/>
    </row>
    <row r="100" customHeight="1" spans="1:1">
      <c r="A100" s="112"/>
    </row>
    <row r="101" customHeight="1" spans="1:1">
      <c r="A101" s="112"/>
    </row>
    <row r="102" customHeight="1" spans="1:1">
      <c r="A102" s="112"/>
    </row>
    <row r="103" customHeight="1" spans="1:1">
      <c r="A103" s="112"/>
    </row>
    <row r="104" customHeight="1" spans="1:6">
      <c r="A104" s="156"/>
      <c r="B104" s="196"/>
      <c r="E104" s="150"/>
      <c r="F104" s="196"/>
    </row>
    <row r="105" customHeight="1" spans="1:6">
      <c r="A105" s="156"/>
      <c r="B105" s="196"/>
      <c r="E105" s="150"/>
      <c r="F105" s="196"/>
    </row>
    <row r="106" customHeight="1" spans="1:6">
      <c r="A106" s="156"/>
      <c r="B106" s="196"/>
      <c r="E106" s="150"/>
      <c r="F106" s="196"/>
    </row>
    <row r="107" customHeight="1" spans="1:6">
      <c r="A107" s="156"/>
      <c r="B107" s="196"/>
      <c r="E107" s="150"/>
      <c r="F107" s="196"/>
    </row>
    <row r="108" customHeight="1" spans="1:6">
      <c r="A108" s="156"/>
      <c r="B108" s="196"/>
      <c r="E108" s="150"/>
      <c r="F108" s="196"/>
    </row>
    <row r="109" customHeight="1" spans="1:6">
      <c r="A109" s="156"/>
      <c r="B109" s="196"/>
      <c r="E109" s="150"/>
      <c r="F109" s="196"/>
    </row>
    <row r="110" customHeight="1" spans="1:6">
      <c r="A110" s="156"/>
      <c r="B110" s="196"/>
      <c r="E110" s="150"/>
      <c r="F110" s="196"/>
    </row>
    <row r="111" customHeight="1" spans="1:6">
      <c r="A111" s="156"/>
      <c r="B111" s="196"/>
      <c r="E111" s="150"/>
      <c r="F111" s="196"/>
    </row>
    <row r="112" customHeight="1" spans="1:6">
      <c r="A112" s="156"/>
      <c r="B112" s="196"/>
      <c r="E112" s="150"/>
      <c r="F112" s="196"/>
    </row>
    <row r="113" customHeight="1" spans="1:6">
      <c r="A113" s="156"/>
      <c r="B113" s="196"/>
      <c r="E113" s="150"/>
      <c r="F113" s="196"/>
    </row>
    <row r="114" customHeight="1" spans="1:6">
      <c r="A114" s="156"/>
      <c r="B114" s="196"/>
      <c r="E114" s="150"/>
      <c r="F114" s="196"/>
    </row>
    <row r="115" customHeight="1" spans="1:6">
      <c r="A115" s="156"/>
      <c r="B115" s="196"/>
      <c r="E115" s="150"/>
      <c r="F115" s="196"/>
    </row>
    <row r="116" customHeight="1" spans="1:6">
      <c r="A116" s="156"/>
      <c r="B116" s="196"/>
      <c r="E116" s="150"/>
      <c r="F116" s="196"/>
    </row>
    <row r="117" customHeight="1" spans="1:6">
      <c r="A117" s="156"/>
      <c r="B117" s="196"/>
      <c r="E117" s="150"/>
      <c r="F117" s="196"/>
    </row>
    <row r="118" customHeight="1" spans="1:6">
      <c r="A118" s="156"/>
      <c r="B118" s="196"/>
      <c r="E118" s="150"/>
      <c r="F118" s="196"/>
    </row>
    <row r="119" customHeight="1" spans="1:6">
      <c r="A119" s="156"/>
      <c r="B119" s="196"/>
      <c r="E119" s="150"/>
      <c r="F119" s="196"/>
    </row>
    <row r="120" customHeight="1" spans="1:6">
      <c r="A120" s="156"/>
      <c r="B120" s="196"/>
      <c r="E120" s="150"/>
      <c r="F120" s="196"/>
    </row>
    <row r="121" customHeight="1" spans="1:6">
      <c r="A121" s="156"/>
      <c r="B121" s="196"/>
      <c r="E121" s="150"/>
      <c r="F121" s="196"/>
    </row>
    <row r="122" customHeight="1" spans="1:6">
      <c r="A122" s="156"/>
      <c r="B122" s="196"/>
      <c r="E122" s="150"/>
      <c r="F122" s="196"/>
    </row>
    <row r="123" customHeight="1" spans="1:6">
      <c r="A123" s="156"/>
      <c r="B123" s="196"/>
      <c r="E123" s="150"/>
      <c r="F123" s="196"/>
    </row>
    <row r="124" customHeight="1" spans="1:6">
      <c r="A124" s="156"/>
      <c r="B124" s="196"/>
      <c r="E124" s="150"/>
      <c r="F124" s="196"/>
    </row>
    <row r="125" customHeight="1" spans="1:6">
      <c r="A125" s="156"/>
      <c r="B125" s="196"/>
      <c r="E125" s="150"/>
      <c r="F125" s="196"/>
    </row>
    <row r="126" customHeight="1" spans="1:6">
      <c r="A126" s="156"/>
      <c r="B126" s="196"/>
      <c r="E126" s="150"/>
      <c r="F126" s="196"/>
    </row>
    <row r="127" customHeight="1" spans="1:6">
      <c r="A127" s="156"/>
      <c r="B127" s="196"/>
      <c r="E127" s="150"/>
      <c r="F127" s="196"/>
    </row>
    <row r="128" customHeight="1" spans="1:6">
      <c r="A128" s="156"/>
      <c r="B128" s="196"/>
      <c r="E128" s="150"/>
      <c r="F128" s="196"/>
    </row>
    <row r="129" customHeight="1" spans="1:6">
      <c r="A129" s="156"/>
      <c r="B129" s="196"/>
      <c r="E129" s="150"/>
      <c r="F129" s="196"/>
    </row>
    <row r="130" customHeight="1" spans="1:6">
      <c r="A130" s="156"/>
      <c r="B130" s="196"/>
      <c r="E130" s="150"/>
      <c r="F130" s="196"/>
    </row>
    <row r="131" customHeight="1" spans="1:6">
      <c r="A131" s="156"/>
      <c r="B131" s="196"/>
      <c r="E131" s="150"/>
      <c r="F131" s="196"/>
    </row>
    <row r="132" customHeight="1" spans="1:6">
      <c r="A132" s="156"/>
      <c r="B132" s="196"/>
      <c r="E132" s="150"/>
      <c r="F132" s="196"/>
    </row>
    <row r="133" customHeight="1" spans="1:6">
      <c r="A133" s="156"/>
      <c r="B133" s="196"/>
      <c r="E133" s="150"/>
      <c r="F133" s="196"/>
    </row>
    <row r="134" customHeight="1" spans="1:6">
      <c r="A134" s="156"/>
      <c r="B134" s="196"/>
      <c r="E134" s="150"/>
      <c r="F134" s="196"/>
    </row>
    <row r="135" customHeight="1" spans="1:6">
      <c r="A135" s="156"/>
      <c r="B135" s="196"/>
      <c r="E135" s="150"/>
      <c r="F135" s="196"/>
    </row>
    <row r="136" customHeight="1" spans="1:6">
      <c r="A136" s="156"/>
      <c r="B136" s="196"/>
      <c r="E136" s="150"/>
      <c r="F136" s="196"/>
    </row>
    <row r="137" customHeight="1" spans="1:6">
      <c r="A137" s="156"/>
      <c r="B137" s="196"/>
      <c r="E137" s="150"/>
      <c r="F137" s="196"/>
    </row>
    <row r="138" customHeight="1" spans="1:6">
      <c r="A138" s="156"/>
      <c r="B138" s="196"/>
      <c r="E138" s="150"/>
      <c r="F138" s="196"/>
    </row>
    <row r="139" customHeight="1" spans="1:6">
      <c r="A139" s="156"/>
      <c r="B139" s="196"/>
      <c r="E139" s="150"/>
      <c r="F139" s="196"/>
    </row>
    <row r="140" customHeight="1" spans="1:6">
      <c r="A140" s="156"/>
      <c r="B140" s="196"/>
      <c r="E140" s="150"/>
      <c r="F140" s="196"/>
    </row>
    <row r="141" customHeight="1" spans="1:6">
      <c r="A141" s="156"/>
      <c r="B141" s="196"/>
      <c r="E141" s="150"/>
      <c r="F141" s="196"/>
    </row>
    <row r="142" customHeight="1" spans="1:6">
      <c r="A142" s="156"/>
      <c r="B142" s="196"/>
      <c r="E142" s="150"/>
      <c r="F142" s="196"/>
    </row>
    <row r="143" customHeight="1" spans="1:6">
      <c r="A143" s="156"/>
      <c r="B143" s="196"/>
      <c r="E143" s="150"/>
      <c r="F143" s="196"/>
    </row>
    <row r="144" customHeight="1" spans="1:6">
      <c r="A144" s="156"/>
      <c r="B144" s="196"/>
      <c r="E144" s="150"/>
      <c r="F144" s="196"/>
    </row>
    <row r="145" customHeight="1" spans="1:6">
      <c r="A145" s="156"/>
      <c r="B145" s="196"/>
      <c r="E145" s="150"/>
      <c r="F145" s="196"/>
    </row>
    <row r="146" customHeight="1" spans="1:6">
      <c r="A146" s="156"/>
      <c r="B146" s="196"/>
      <c r="E146" s="150"/>
      <c r="F146" s="196"/>
    </row>
    <row r="147" customHeight="1" spans="1:6">
      <c r="A147" s="156"/>
      <c r="B147" s="196"/>
      <c r="E147" s="150"/>
      <c r="F147" s="196"/>
    </row>
    <row r="148" customHeight="1" spans="1:6">
      <c r="A148" s="156"/>
      <c r="B148" s="196"/>
      <c r="E148" s="150"/>
      <c r="F148" s="196"/>
    </row>
    <row r="149" customHeight="1" spans="1:6">
      <c r="A149" s="156"/>
      <c r="B149" s="196"/>
      <c r="E149" s="150"/>
      <c r="F149" s="196"/>
    </row>
    <row r="150" customHeight="1" spans="1:6">
      <c r="A150" s="156"/>
      <c r="B150" s="196"/>
      <c r="E150" s="150"/>
      <c r="F150" s="196"/>
    </row>
    <row r="151" customHeight="1" spans="1:6">
      <c r="A151" s="156"/>
      <c r="B151" s="196"/>
      <c r="E151" s="150"/>
      <c r="F151" s="196"/>
    </row>
    <row r="152" customHeight="1" spans="1:6">
      <c r="A152" s="156"/>
      <c r="B152" s="196"/>
      <c r="E152" s="150"/>
      <c r="F152" s="196"/>
    </row>
    <row r="153" customHeight="1" spans="1:6">
      <c r="A153" s="156"/>
      <c r="B153" s="196"/>
      <c r="E153" s="150"/>
      <c r="F153" s="196"/>
    </row>
    <row r="154" customHeight="1" spans="1:6">
      <c r="A154" s="156"/>
      <c r="B154" s="196"/>
      <c r="E154" s="150"/>
      <c r="F154" s="196"/>
    </row>
    <row r="155" customHeight="1" spans="1:6">
      <c r="A155" s="156"/>
      <c r="B155" s="196"/>
      <c r="E155" s="150"/>
      <c r="F155" s="196"/>
    </row>
    <row r="156" customHeight="1" spans="1:6">
      <c r="A156" s="156"/>
      <c r="B156" s="196"/>
      <c r="E156" s="150"/>
      <c r="F156" s="196"/>
    </row>
    <row r="157" customHeight="1" spans="1:6">
      <c r="A157" s="156"/>
      <c r="B157" s="196"/>
      <c r="E157" s="150"/>
      <c r="F157" s="196"/>
    </row>
    <row r="158" customHeight="1" spans="1:6">
      <c r="A158" s="156"/>
      <c r="B158" s="196"/>
      <c r="E158" s="150"/>
      <c r="F158" s="196"/>
    </row>
    <row r="159" customHeight="1" spans="1:6">
      <c r="A159" s="156"/>
      <c r="B159" s="196"/>
      <c r="E159" s="150"/>
      <c r="F159" s="196"/>
    </row>
    <row r="160" customHeight="1" spans="1:6">
      <c r="A160" s="156"/>
      <c r="B160" s="196"/>
      <c r="E160" s="150"/>
      <c r="F160" s="196"/>
    </row>
    <row r="161" customHeight="1" spans="2:6">
      <c r="B161" s="160"/>
      <c r="C161" s="150"/>
      <c r="D161" s="150"/>
      <c r="E161" s="150"/>
      <c r="F161" s="183"/>
    </row>
    <row r="162" customHeight="1" spans="2:6">
      <c r="B162" s="160"/>
      <c r="C162" s="150"/>
      <c r="D162" s="150"/>
      <c r="E162" s="150"/>
      <c r="F162" s="183"/>
    </row>
    <row r="163" customHeight="1" spans="2:6">
      <c r="B163" s="161"/>
      <c r="C163" s="150"/>
      <c r="D163" s="150"/>
      <c r="E163" s="150"/>
      <c r="F163" s="183"/>
    </row>
    <row r="164" customHeight="1" spans="2:6">
      <c r="B164" s="160"/>
      <c r="C164" s="150"/>
      <c r="D164" s="150"/>
      <c r="E164" s="150"/>
      <c r="F164" s="183"/>
    </row>
    <row r="165" customHeight="1" spans="2:6">
      <c r="B165" s="160"/>
      <c r="C165" s="150"/>
      <c r="D165" s="150"/>
      <c r="E165" s="150"/>
      <c r="F165" s="183"/>
    </row>
    <row r="166" customHeight="1" spans="2:6">
      <c r="B166" s="161"/>
      <c r="C166" s="150"/>
      <c r="D166" s="150"/>
      <c r="E166" s="150"/>
      <c r="F166" s="183"/>
    </row>
    <row r="167" customHeight="1" spans="2:6">
      <c r="B167" s="160"/>
      <c r="C167" s="150"/>
      <c r="D167" s="150"/>
      <c r="E167" s="150"/>
      <c r="F167" s="183"/>
    </row>
    <row r="168" customHeight="1" spans="2:6">
      <c r="B168" s="160"/>
      <c r="C168" s="150"/>
      <c r="D168" s="150"/>
      <c r="E168" s="150"/>
      <c r="F168" s="183"/>
    </row>
    <row r="169" customHeight="1" spans="2:6">
      <c r="B169" s="160"/>
      <c r="C169" s="150"/>
      <c r="D169" s="150"/>
      <c r="E169" s="150"/>
      <c r="F169" s="183"/>
    </row>
    <row r="170" customHeight="1" spans="2:6">
      <c r="B170" s="160"/>
      <c r="C170" s="150"/>
      <c r="D170" s="150"/>
      <c r="E170" s="150"/>
      <c r="F170" s="183"/>
    </row>
    <row r="171" customHeight="1" spans="2:6">
      <c r="B171" s="160"/>
      <c r="C171" s="150"/>
      <c r="D171" s="150"/>
      <c r="E171" s="150"/>
      <c r="F171" s="183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3">
    <cfRule type="containsBlanks" dxfId="25" priority="1">
      <formula>LEN(TRIM(G9))=0</formula>
    </cfRule>
  </conditionalFormatting>
  <dataValidations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headerFooter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4"/>
  <sheetViews>
    <sheetView zoomScale="99" zoomScaleNormal="99" workbookViewId="0">
      <selection activeCell="G4" sqref="G4:G44"/>
    </sheetView>
  </sheetViews>
  <sheetFormatPr defaultColWidth="9" defaultRowHeight="15"/>
  <cols>
    <col min="1" max="16384" width="9.14285714285714" style="162"/>
  </cols>
  <sheetData>
    <row r="1" spans="6:6">
      <c r="F1" s="162" t="s">
        <v>73</v>
      </c>
    </row>
    <row r="2" ht="15.75" spans="2:7">
      <c r="B2" s="162" t="s">
        <v>74</v>
      </c>
      <c r="F2" s="163" t="s">
        <v>75</v>
      </c>
      <c r="G2" s="164" t="s">
        <v>76</v>
      </c>
    </row>
    <row r="3" ht="15.75" spans="3:15">
      <c r="C3" s="162" t="str">
        <f>""</f>
        <v/>
      </c>
      <c r="F3" s="163" t="e">
        <v>#N/A</v>
      </c>
      <c r="G3" s="164">
        <v>0</v>
      </c>
      <c r="I3" s="162">
        <v>1</v>
      </c>
      <c r="K3" s="162">
        <f>LOOKUP(I3,Tabella4[1],Tabella4[100])+LOOKUP(I4,Tabella4[1],Tabella4[100])</f>
        <v>165</v>
      </c>
      <c r="M3" s="173"/>
      <c r="O3" s="173"/>
    </row>
    <row r="4" ht="15.75" spans="3:15">
      <c r="C4" s="162" t="s">
        <v>53</v>
      </c>
      <c r="F4" s="163">
        <v>1</v>
      </c>
      <c r="G4" s="164">
        <v>95</v>
      </c>
      <c r="I4" s="162">
        <v>4</v>
      </c>
      <c r="M4" s="173"/>
      <c r="N4" s="174"/>
      <c r="O4" s="173"/>
    </row>
    <row r="5" ht="15.75" spans="3:16">
      <c r="C5" s="162" t="s">
        <v>47</v>
      </c>
      <c r="F5" s="165">
        <v>2</v>
      </c>
      <c r="G5" s="166">
        <v>85</v>
      </c>
      <c r="M5" s="173"/>
      <c r="N5" s="175"/>
      <c r="O5" s="173"/>
      <c r="P5" s="173"/>
    </row>
    <row r="6" ht="15.75" spans="3:16">
      <c r="C6" s="162" t="s">
        <v>77</v>
      </c>
      <c r="F6" s="167">
        <v>3</v>
      </c>
      <c r="G6" s="168">
        <v>77</v>
      </c>
      <c r="M6" s="173"/>
      <c r="N6" s="175"/>
      <c r="O6" s="173"/>
      <c r="P6" s="173"/>
    </row>
    <row r="7" ht="15.75" spans="6:16">
      <c r="F7" s="165">
        <v>4</v>
      </c>
      <c r="G7" s="166">
        <v>70</v>
      </c>
      <c r="M7" s="173"/>
      <c r="N7" s="175"/>
      <c r="O7" s="173"/>
      <c r="P7" s="173"/>
    </row>
    <row r="8" ht="15.75" spans="6:16">
      <c r="F8" s="167">
        <v>5</v>
      </c>
      <c r="G8" s="168">
        <v>64</v>
      </c>
      <c r="M8" s="173"/>
      <c r="N8" s="175"/>
      <c r="O8" s="173"/>
      <c r="P8" s="173"/>
    </row>
    <row r="9" ht="15.75" spans="6:16">
      <c r="F9" s="165">
        <v>6</v>
      </c>
      <c r="G9" s="166">
        <v>59</v>
      </c>
      <c r="M9" s="173"/>
      <c r="N9" s="175"/>
      <c r="O9" s="173"/>
      <c r="P9" s="173"/>
    </row>
    <row r="10" ht="15.75" spans="6:16">
      <c r="F10" s="167">
        <v>7</v>
      </c>
      <c r="G10" s="168">
        <v>55</v>
      </c>
      <c r="M10" s="173"/>
      <c r="N10" s="175"/>
      <c r="O10" s="173"/>
      <c r="P10" s="173"/>
    </row>
    <row r="11" ht="15.75" spans="6:16">
      <c r="F11" s="165">
        <v>8</v>
      </c>
      <c r="G11" s="166">
        <v>52</v>
      </c>
      <c r="M11" s="173"/>
      <c r="N11" s="175"/>
      <c r="O11" s="173"/>
      <c r="P11" s="173"/>
    </row>
    <row r="12" ht="15.75" spans="6:16">
      <c r="F12" s="167">
        <v>9</v>
      </c>
      <c r="G12" s="168">
        <v>49</v>
      </c>
      <c r="M12" s="173"/>
      <c r="N12" s="175"/>
      <c r="O12" s="173"/>
      <c r="P12" s="173"/>
    </row>
    <row r="13" ht="15.75" spans="6:16">
      <c r="F13" s="165">
        <v>10</v>
      </c>
      <c r="G13" s="166">
        <v>46</v>
      </c>
      <c r="M13" s="173"/>
      <c r="N13" s="175"/>
      <c r="O13" s="173"/>
      <c r="P13" s="173"/>
    </row>
    <row r="14" ht="15.75" spans="6:16">
      <c r="F14" s="167">
        <v>11</v>
      </c>
      <c r="G14" s="168">
        <v>43</v>
      </c>
      <c r="M14" s="173"/>
      <c r="N14" s="175"/>
      <c r="O14" s="173"/>
      <c r="P14" s="173"/>
    </row>
    <row r="15" ht="15.75" spans="6:16">
      <c r="F15" s="165">
        <v>12</v>
      </c>
      <c r="G15" s="166">
        <v>40</v>
      </c>
      <c r="M15" s="173"/>
      <c r="N15" s="175"/>
      <c r="O15" s="173"/>
      <c r="P15" s="173"/>
    </row>
    <row r="16" ht="15.75" spans="6:16">
      <c r="F16" s="167">
        <v>13</v>
      </c>
      <c r="G16" s="168">
        <v>37</v>
      </c>
      <c r="M16" s="173"/>
      <c r="N16" s="175"/>
      <c r="O16" s="173"/>
      <c r="P16" s="173"/>
    </row>
    <row r="17" ht="15.75" spans="6:16">
      <c r="F17" s="165">
        <v>14</v>
      </c>
      <c r="G17" s="166">
        <v>34</v>
      </c>
      <c r="M17" s="173"/>
      <c r="N17" s="175"/>
      <c r="O17" s="173"/>
      <c r="P17" s="173"/>
    </row>
    <row r="18" ht="15.75" spans="6:16">
      <c r="F18" s="167">
        <v>15</v>
      </c>
      <c r="G18" s="168">
        <v>32</v>
      </c>
      <c r="M18" s="173"/>
      <c r="N18" s="175"/>
      <c r="O18" s="173"/>
      <c r="P18" s="173"/>
    </row>
    <row r="19" ht="15.75" spans="6:16">
      <c r="F19" s="165">
        <v>16</v>
      </c>
      <c r="G19" s="166">
        <v>30</v>
      </c>
      <c r="M19" s="173"/>
      <c r="N19" s="175"/>
      <c r="O19" s="176"/>
      <c r="P19" s="173"/>
    </row>
    <row r="20" ht="15.75" spans="6:16">
      <c r="F20" s="167">
        <v>17</v>
      </c>
      <c r="G20" s="168">
        <v>28</v>
      </c>
      <c r="M20" s="173"/>
      <c r="N20" s="175"/>
      <c r="O20" s="176"/>
      <c r="P20" s="173"/>
    </row>
    <row r="21" ht="15.75" spans="6:16">
      <c r="F21" s="165">
        <v>18</v>
      </c>
      <c r="G21" s="166">
        <v>26</v>
      </c>
      <c r="M21" s="173"/>
      <c r="N21" s="175"/>
      <c r="O21" s="176"/>
      <c r="P21" s="173"/>
    </row>
    <row r="22" ht="15.75" spans="6:16">
      <c r="F22" s="167">
        <v>19</v>
      </c>
      <c r="G22" s="168">
        <v>24</v>
      </c>
      <c r="M22" s="173"/>
      <c r="N22" s="175"/>
      <c r="O22" s="176"/>
      <c r="P22" s="173"/>
    </row>
    <row r="23" ht="15.75" spans="6:16">
      <c r="F23" s="165">
        <v>20</v>
      </c>
      <c r="G23" s="166">
        <v>23</v>
      </c>
      <c r="M23" s="173"/>
      <c r="N23" s="175"/>
      <c r="O23" s="176"/>
      <c r="P23" s="173"/>
    </row>
    <row r="24" ht="15.75" spans="6:16">
      <c r="F24" s="167">
        <v>21</v>
      </c>
      <c r="G24" s="168">
        <v>22</v>
      </c>
      <c r="M24" s="173"/>
      <c r="N24" s="175"/>
      <c r="O24" s="176"/>
      <c r="P24" s="173"/>
    </row>
    <row r="25" ht="15.75" spans="6:16">
      <c r="F25" s="165">
        <v>22</v>
      </c>
      <c r="G25" s="166">
        <v>21</v>
      </c>
      <c r="M25" s="173"/>
      <c r="N25" s="175"/>
      <c r="O25" s="176"/>
      <c r="P25" s="173"/>
    </row>
    <row r="26" ht="15.75" spans="6:16">
      <c r="F26" s="167">
        <v>23</v>
      </c>
      <c r="G26" s="168">
        <v>20</v>
      </c>
      <c r="M26" s="173"/>
      <c r="N26" s="175"/>
      <c r="O26" s="176"/>
      <c r="P26" s="173"/>
    </row>
    <row r="27" ht="15.75" spans="6:16">
      <c r="F27" s="165">
        <v>24</v>
      </c>
      <c r="G27" s="166">
        <v>19</v>
      </c>
      <c r="M27" s="173"/>
      <c r="N27" s="175"/>
      <c r="O27" s="176"/>
      <c r="P27" s="173"/>
    </row>
    <row r="28" ht="15.75" spans="6:16">
      <c r="F28" s="167">
        <v>25</v>
      </c>
      <c r="G28" s="168">
        <v>18</v>
      </c>
      <c r="M28" s="173"/>
      <c r="N28" s="175"/>
      <c r="O28" s="176"/>
      <c r="P28" s="173"/>
    </row>
    <row r="29" ht="15.75" spans="6:16">
      <c r="F29" s="165">
        <v>26</v>
      </c>
      <c r="G29" s="166">
        <v>17</v>
      </c>
      <c r="M29" s="173"/>
      <c r="N29" s="175"/>
      <c r="O29" s="176"/>
      <c r="P29" s="173"/>
    </row>
    <row r="30" ht="15.75" spans="6:16">
      <c r="F30" s="167">
        <v>27</v>
      </c>
      <c r="G30" s="168">
        <v>16</v>
      </c>
      <c r="M30" s="173"/>
      <c r="N30" s="175"/>
      <c r="O30" s="176"/>
      <c r="P30" s="173"/>
    </row>
    <row r="31" ht="15.75" spans="6:16">
      <c r="F31" s="165">
        <v>28</v>
      </c>
      <c r="G31" s="166">
        <v>15</v>
      </c>
      <c r="M31" s="173"/>
      <c r="N31" s="175"/>
      <c r="O31" s="176"/>
      <c r="P31" s="173"/>
    </row>
    <row r="32" ht="15.75" spans="6:16">
      <c r="F32" s="167">
        <v>29</v>
      </c>
      <c r="G32" s="168">
        <v>14</v>
      </c>
      <c r="M32" s="173"/>
      <c r="N32" s="175"/>
      <c r="O32" s="176"/>
      <c r="P32" s="173"/>
    </row>
    <row r="33" ht="15.75" spans="6:16">
      <c r="F33" s="165">
        <v>30</v>
      </c>
      <c r="G33" s="166">
        <v>13</v>
      </c>
      <c r="M33" s="173"/>
      <c r="N33" s="175"/>
      <c r="O33" s="176"/>
      <c r="P33" s="173"/>
    </row>
    <row r="34" ht="15.75" spans="6:16">
      <c r="F34" s="167">
        <v>31</v>
      </c>
      <c r="G34" s="168">
        <v>12</v>
      </c>
      <c r="M34" s="173"/>
      <c r="N34" s="175"/>
      <c r="O34" s="176"/>
      <c r="P34" s="173"/>
    </row>
    <row r="35" ht="15.75" spans="6:16">
      <c r="F35" s="165">
        <v>32</v>
      </c>
      <c r="G35" s="166">
        <v>11</v>
      </c>
      <c r="M35" s="173"/>
      <c r="N35" s="175"/>
      <c r="O35" s="176"/>
      <c r="P35" s="173"/>
    </row>
    <row r="36" ht="15.75" spans="6:16">
      <c r="F36" s="167">
        <v>33</v>
      </c>
      <c r="G36" s="169">
        <v>10</v>
      </c>
      <c r="M36" s="173"/>
      <c r="N36" s="175"/>
      <c r="O36" s="176"/>
      <c r="P36" s="173"/>
    </row>
    <row r="37" ht="15.75" spans="6:16">
      <c r="F37" s="165">
        <v>34</v>
      </c>
      <c r="G37" s="170">
        <v>9.05</v>
      </c>
      <c r="M37" s="173"/>
      <c r="N37" s="175"/>
      <c r="O37" s="176"/>
      <c r="P37" s="173"/>
    </row>
    <row r="38" ht="15.75" spans="6:16">
      <c r="F38" s="167">
        <v>35</v>
      </c>
      <c r="G38" s="169">
        <v>8.1</v>
      </c>
      <c r="M38" s="173"/>
      <c r="N38" s="175"/>
      <c r="O38" s="176"/>
      <c r="P38" s="173"/>
    </row>
    <row r="39" ht="15.75" spans="6:16">
      <c r="F39" s="165">
        <v>36</v>
      </c>
      <c r="G39" s="170">
        <v>7.15</v>
      </c>
      <c r="M39" s="173"/>
      <c r="N39" s="175"/>
      <c r="O39" s="176"/>
      <c r="P39" s="173"/>
    </row>
    <row r="40" ht="15.75" spans="6:16">
      <c r="F40" s="167">
        <v>37</v>
      </c>
      <c r="G40" s="169">
        <v>6</v>
      </c>
      <c r="M40" s="173"/>
      <c r="N40" s="175"/>
      <c r="O40" s="176"/>
      <c r="P40" s="173"/>
    </row>
    <row r="41" ht="15.75" spans="6:16">
      <c r="F41" s="165">
        <v>38</v>
      </c>
      <c r="G41" s="170">
        <v>5</v>
      </c>
      <c r="M41" s="173"/>
      <c r="N41" s="175"/>
      <c r="O41" s="176"/>
      <c r="P41" s="173"/>
    </row>
    <row r="42" ht="15.75" spans="6:16">
      <c r="F42" s="167">
        <v>39</v>
      </c>
      <c r="G42" s="168">
        <v>4</v>
      </c>
      <c r="M42" s="173"/>
      <c r="N42" s="175"/>
      <c r="O42" s="176"/>
      <c r="P42" s="173"/>
    </row>
    <row r="43" ht="15.75" spans="6:16">
      <c r="F43" s="171">
        <v>40</v>
      </c>
      <c r="G43" s="166">
        <v>4</v>
      </c>
      <c r="M43" s="173"/>
      <c r="N43" s="175"/>
      <c r="O43" s="176"/>
      <c r="P43" s="173"/>
    </row>
    <row r="44" ht="15.75" spans="6:16">
      <c r="F44" s="162" t="s">
        <v>78</v>
      </c>
      <c r="G44" s="172">
        <v>3</v>
      </c>
      <c r="M44" s="173"/>
      <c r="N44" s="175"/>
      <c r="O44" s="176"/>
      <c r="P44" s="173"/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0"/>
  <sheetViews>
    <sheetView zoomScale="50" zoomScaleNormal="50" workbookViewId="0">
      <selection activeCell="R23" sqref="R23"/>
    </sheetView>
  </sheetViews>
  <sheetFormatPr defaultColWidth="9" defaultRowHeight="25.5" customHeight="1"/>
  <cols>
    <col min="1" max="1" width="10.4285714285714" style="79" customWidth="1"/>
    <col min="2" max="2" width="42.5714285714286" style="79" customWidth="1"/>
    <col min="3" max="3" width="18.8571428571429" style="79" customWidth="1"/>
    <col min="4" max="4" width="10.7142857142857" style="79" customWidth="1"/>
    <col min="5" max="5" width="10.8571428571429" style="79" customWidth="1"/>
    <col min="6" max="6" width="21.4285714285714" style="79" customWidth="1"/>
    <col min="7" max="7" width="15.1619047619048" style="79" customWidth="1"/>
    <col min="8" max="8" width="13.2857142857143" style="79" customWidth="1"/>
    <col min="9" max="9" width="12.2857142857143" style="79" customWidth="1"/>
    <col min="10" max="12" width="12.5714285714286" style="79" customWidth="1"/>
    <col min="13" max="13" width="9.57142857142857" style="79" customWidth="1"/>
    <col min="14" max="14" width="10.2857142857143" style="79" customWidth="1"/>
    <col min="15" max="15" width="12.5714285714286" style="79" customWidth="1"/>
    <col min="16" max="16" width="13.1428571428571" style="79" customWidth="1"/>
    <col min="17" max="17" width="10.8571428571429" style="79" customWidth="1"/>
    <col min="18" max="18" width="11.5714285714286" style="79" customWidth="1"/>
    <col min="19" max="19" width="12.8571428571429" style="79" customWidth="1"/>
    <col min="20" max="20" width="15" style="79" customWidth="1"/>
    <col min="21" max="21" width="4" style="79" customWidth="1"/>
    <col min="22" max="22" width="20.1428571428571" style="79" customWidth="1"/>
    <col min="23" max="23" width="4" style="79" customWidth="1"/>
    <col min="24" max="24" width="20.1428571428571" style="79" customWidth="1"/>
    <col min="25" max="25" width="15" style="79" customWidth="1"/>
    <col min="26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36"/>
    </row>
    <row r="2" ht="9.75" customHeight="1" spans="1:25">
      <c r="A2" s="82"/>
      <c r="B2" s="82"/>
      <c r="C2" s="82"/>
      <c r="D2" s="82"/>
      <c r="E2" s="82"/>
      <c r="F2" s="83"/>
      <c r="G2" s="84">
        <f>IF(COUNTA(FEMMINE7[24-mar])=0,0,COUNTA(FEMMINE7[24-mar]))</f>
        <v>1</v>
      </c>
      <c r="H2" s="84">
        <f>IF(COUNTA(FEMMINE7[14-apr])=0,0,COUNTA(FEMMINE7[14-apr]))</f>
        <v>1</v>
      </c>
      <c r="I2" s="84">
        <f>IF(COUNTA(FEMMINE7[data3])=0,0,COUNTA(FEMMINE7[data3]))</f>
        <v>0</v>
      </c>
      <c r="J2" s="84">
        <f>IF(COUNTA(FEMMINE7[data4])=0,0,COUNTA(FEMMINE7[data4]))</f>
        <v>0</v>
      </c>
      <c r="K2" s="84">
        <f>IF(COUNTA(FEMMINE7[data5])=0,0,COUNTA(FEMMINE7[data5]))</f>
        <v>0</v>
      </c>
      <c r="L2" s="84">
        <f>IF(COUNTA(FEMMINE7[data6])=0,0,COUNTA(FEMMINE7[data6]))</f>
        <v>0</v>
      </c>
      <c r="M2" s="84">
        <f>IF(COUNTA(FEMMINE7[data7])=0,0,COUNTA(FEMMINE7[data7]))</f>
        <v>0</v>
      </c>
      <c r="N2" s="84">
        <f>IF(COUNTA(FEMMINE7[data8])=0,0,COUNTA(FEMMINE7[data8]))</f>
        <v>0</v>
      </c>
      <c r="O2" s="84">
        <f>IF(COUNTA(FEMMINE7[data9])=0,0,COUNTA(FEMMINE7[data9]))</f>
        <v>0</v>
      </c>
      <c r="P2" s="84">
        <f>IF(COUNTA(FEMMINE7[data10])=0,0,COUNTA(FEMMINE7[data10]))</f>
        <v>0</v>
      </c>
      <c r="Q2" s="84">
        <f>IF(COUNTA(FEMMINE7[data11])=0,0,COUNTA(FEMMINE7[data11]))</f>
        <v>0</v>
      </c>
      <c r="R2" s="84">
        <f>IF(COUNTA(FEMMINE7[data12])=0,0,COUNTA(FEMMINE7[data12]))</f>
        <v>0</v>
      </c>
      <c r="S2" s="84">
        <f>IF(COUNTA(FEMMINE7[data13])=0,0,COUNTA(FEMMINE7[data13]))</f>
        <v>0</v>
      </c>
      <c r="T2" s="84"/>
      <c r="U2" s="84"/>
      <c r="V2" s="84">
        <f>IF(COUNTA(FEMMINE7[data13])=0,0,COUNTA(FEMMINE7[data13]))</f>
        <v>0</v>
      </c>
      <c r="W2" s="83"/>
      <c r="X2" s="83"/>
      <c r="Y2" s="83"/>
    </row>
    <row r="3" ht="9.7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>IF(H2=0,0,1)</f>
        <v>1</v>
      </c>
      <c r="I3" s="84">
        <f t="shared" ref="I3:S3" si="0">IF(I2=0,0,1)</f>
        <v>0</v>
      </c>
      <c r="J3" s="84">
        <f t="shared" si="0"/>
        <v>0</v>
      </c>
      <c r="K3" s="84">
        <f t="shared" si="0"/>
        <v>0</v>
      </c>
      <c r="L3" s="84">
        <f t="shared" si="0"/>
        <v>0</v>
      </c>
      <c r="M3" s="84">
        <f t="shared" si="0"/>
        <v>0</v>
      </c>
      <c r="N3" s="84">
        <f t="shared" si="0"/>
        <v>0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2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86" t="s">
        <v>79</v>
      </c>
      <c r="B4" s="87"/>
      <c r="C4" s="87"/>
      <c r="D4" s="87"/>
      <c r="E4" s="88"/>
      <c r="F4" s="89"/>
      <c r="G4" s="90" t="s">
        <v>2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137"/>
    </row>
    <row r="5" customHeight="1" spans="1:25">
      <c r="A5" s="92"/>
      <c r="B5" s="93"/>
      <c r="C5" s="93"/>
      <c r="D5" s="93"/>
      <c r="E5" s="94"/>
      <c r="F5" s="95"/>
      <c r="G5" s="96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138"/>
    </row>
    <row r="6" customHeight="1" spans="1:31">
      <c r="A6" s="98"/>
      <c r="B6" s="98"/>
      <c r="C6" s="98"/>
      <c r="D6" s="98"/>
      <c r="E6" s="98"/>
      <c r="F6" s="83"/>
      <c r="G6" s="99" t="s">
        <v>3</v>
      </c>
      <c r="H6" s="100" t="s">
        <v>4</v>
      </c>
      <c r="I6" s="100" t="s">
        <v>5</v>
      </c>
      <c r="J6" s="100" t="s">
        <v>6</v>
      </c>
      <c r="K6" s="100" t="s">
        <v>7</v>
      </c>
      <c r="L6" s="100" t="s">
        <v>8</v>
      </c>
      <c r="M6" s="100" t="s">
        <v>9</v>
      </c>
      <c r="N6" s="100" t="s">
        <v>10</v>
      </c>
      <c r="O6" s="100" t="s">
        <v>11</v>
      </c>
      <c r="P6" s="100" t="s">
        <v>12</v>
      </c>
      <c r="Q6" s="100" t="s">
        <v>13</v>
      </c>
      <c r="R6" s="100" t="s">
        <v>14</v>
      </c>
      <c r="S6" s="117" t="s">
        <v>15</v>
      </c>
      <c r="T6" s="118"/>
      <c r="U6" s="119"/>
      <c r="V6" s="120" t="s">
        <v>16</v>
      </c>
      <c r="W6" s="119"/>
      <c r="X6" s="121" t="s">
        <v>17</v>
      </c>
      <c r="Y6" s="139" t="s">
        <v>18</v>
      </c>
      <c r="Z6" s="140"/>
      <c r="AA6" s="140"/>
      <c r="AB6" s="140"/>
      <c r="AC6" s="140"/>
      <c r="AD6" s="140"/>
      <c r="AE6" s="140"/>
    </row>
    <row r="7" s="78" customFormat="1" customHeight="1" spans="1:25">
      <c r="A7" s="98"/>
      <c r="B7" s="98"/>
      <c r="C7" s="98"/>
      <c r="D7" s="98"/>
      <c r="E7" s="98"/>
      <c r="F7" s="83"/>
      <c r="G7" s="101" t="s">
        <v>19</v>
      </c>
      <c r="H7" s="102" t="s">
        <v>20</v>
      </c>
      <c r="I7" s="101" t="s">
        <v>21</v>
      </c>
      <c r="J7" s="101" t="s">
        <v>21</v>
      </c>
      <c r="K7" s="101" t="s">
        <v>21</v>
      </c>
      <c r="L7" s="101" t="s">
        <v>21</v>
      </c>
      <c r="M7" s="101" t="s">
        <v>21</v>
      </c>
      <c r="N7" s="101" t="s">
        <v>21</v>
      </c>
      <c r="O7" s="101" t="s">
        <v>21</v>
      </c>
      <c r="P7" s="101" t="s">
        <v>21</v>
      </c>
      <c r="Q7" s="101" t="s">
        <v>21</v>
      </c>
      <c r="R7" s="101" t="s">
        <v>21</v>
      </c>
      <c r="S7" s="122" t="s">
        <v>21</v>
      </c>
      <c r="T7" s="123"/>
      <c r="U7" s="124"/>
      <c r="V7" s="125"/>
      <c r="W7" s="124"/>
      <c r="X7" s="121"/>
      <c r="Y7" s="139"/>
    </row>
    <row r="8" customHeight="1" spans="1:26">
      <c r="A8" s="103" t="s">
        <v>22</v>
      </c>
      <c r="B8" s="103" t="s">
        <v>23</v>
      </c>
      <c r="C8" s="104" t="s">
        <v>24</v>
      </c>
      <c r="D8" s="104" t="s">
        <v>25</v>
      </c>
      <c r="E8" s="105" t="s">
        <v>26</v>
      </c>
      <c r="F8" s="104" t="s">
        <v>21</v>
      </c>
      <c r="G8" s="241" t="s">
        <v>27</v>
      </c>
      <c r="H8" s="241" t="s">
        <v>28</v>
      </c>
      <c r="I8" s="242" t="s">
        <v>29</v>
      </c>
      <c r="J8" s="242" t="s">
        <v>30</v>
      </c>
      <c r="K8" s="242" t="s">
        <v>31</v>
      </c>
      <c r="L8" s="242" t="s">
        <v>32</v>
      </c>
      <c r="M8" s="242" t="s">
        <v>33</v>
      </c>
      <c r="N8" s="242" t="s">
        <v>34</v>
      </c>
      <c r="O8" s="242" t="s">
        <v>35</v>
      </c>
      <c r="P8" s="242" t="s">
        <v>36</v>
      </c>
      <c r="Q8" s="242" t="s">
        <v>37</v>
      </c>
      <c r="R8" s="242" t="s">
        <v>38</v>
      </c>
      <c r="S8" s="243" t="s">
        <v>39</v>
      </c>
      <c r="T8" s="54" t="s">
        <v>40</v>
      </c>
      <c r="U8" s="127" t="s">
        <v>41</v>
      </c>
      <c r="V8" s="240" t="s">
        <v>42</v>
      </c>
      <c r="W8" s="129" t="s">
        <v>43</v>
      </c>
      <c r="X8" s="130" t="s">
        <v>44</v>
      </c>
      <c r="Y8" s="141" t="s">
        <v>45</v>
      </c>
      <c r="Z8" s="142"/>
    </row>
    <row r="9" customHeight="1" spans="1:26">
      <c r="A9" s="106">
        <f t="shared" ref="A9" si="2">IF(A8="Elenco",1,IF(B9="","",A8+1))</f>
        <v>1</v>
      </c>
      <c r="B9" s="107" t="s">
        <v>80</v>
      </c>
      <c r="C9" s="108">
        <v>2012</v>
      </c>
      <c r="D9" s="108" t="s">
        <v>53</v>
      </c>
      <c r="E9" s="109">
        <v>2</v>
      </c>
      <c r="F9" s="110" t="s">
        <v>81</v>
      </c>
      <c r="G9" s="111">
        <v>1</v>
      </c>
      <c r="H9" s="111">
        <v>1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31">
        <f>IF(IF(FEMMINE7[[#This Row],[24-mar]]&lt;&gt;0,LOOKUP(FEMMINE7[[#This Row],[24-mar]],Tabella4[1],Tabella4[100]),0)+IF(FEMMINE7[[#This Row],[14-apr]]&lt;&gt;0,LOOKUP(FEMMINE7[[#This Row],[14-apr]],Tabella4[1],Tabella4[100]),0)+IF(FEMMINE7[[#This Row],[data3]]&lt;&gt;0,LOOKUP(FEMMINE7[[#This Row],[data3]],Tabella4[1],Tabella4[100]),0)+IF(FEMMINE7[[#This Row],[data4]]&lt;&gt;0,LOOKUP(FEMMINE7[[#This Row],[data4]],Tabella4[1],Tabella4[100]),0)+IF(FEMMINE7[[#This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Row],[data3]]&lt;&gt;0,LOOKUP(FEMMINE7[[#This Row],[data3]],Tabella4[1],Tabella4[100]),0)+IF(FEMMINE7[[#This Row],[data4]]&lt;&gt;0,LOOKUP(FEMMINE7[[#This Row],[data4]],Tabella4[1],Tabella4[100]),0)+IF(FEMMINE7[[#This Row],[data5]]&lt;&gt;0,LOOKUP(FEMMINE7[[#This Row],[data5]],Tabella4[1],Tabella4[100]),0)+IF(FEMMINE7[[#This Row],[data6]]&lt;&gt;0,LOOKUP(FEMMINE7[[#This Row],[data6]],Tabella4[1],Tabella4[100]),0)+IF(FEMMINE7[[#This Row],[data7]]&lt;&gt;0,LOOKUP(FEMMINE7[[#This Row],[data7]],Tabella4[1],Tabella4[100]),0)+IF(FEMMINE7[[#This Row],[data8]]&lt;&gt;0,LOOKUP(FEMMINE7[[#This Row],[data8]],Tabella4[1],Tabella4[100]),0)+IF(FEMMINE7[[#This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190</v>
      </c>
      <c r="U9" s="132">
        <f>AVERAGE(FEMMINE7[[#This Row],[24-mar]:[data13]])</f>
        <v>1</v>
      </c>
      <c r="V9" s="133"/>
      <c r="W9" s="134"/>
      <c r="X9" s="13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190</v>
      </c>
      <c r="Y9" s="73">
        <f t="shared" ref="Y9" si="3">IFERROR(IF(E9=0,"",X9/E9),"")</f>
        <v>95</v>
      </c>
      <c r="Z9" s="142"/>
    </row>
    <row r="10" customHeight="1" spans="1:6">
      <c r="A10" s="112"/>
      <c r="B10" s="113"/>
      <c r="F10" s="114"/>
    </row>
    <row r="11" customHeight="1" spans="1:6">
      <c r="A11" s="112"/>
      <c r="B11" s="113"/>
      <c r="C11" s="115"/>
      <c r="F11" s="114"/>
    </row>
    <row r="12" customHeight="1" spans="1:2">
      <c r="A12" s="112"/>
      <c r="B12" s="113"/>
    </row>
    <row r="13" customHeight="1" spans="1:2">
      <c r="A13" s="112"/>
      <c r="B13" s="113"/>
    </row>
    <row r="14" customHeight="1" spans="1:2">
      <c r="A14" s="112"/>
      <c r="B14" s="113"/>
    </row>
    <row r="15" customHeight="1" spans="1:2">
      <c r="A15" s="112"/>
      <c r="B15" s="113"/>
    </row>
    <row r="16" customHeight="1" spans="1:2">
      <c r="A16" s="112"/>
      <c r="B16" s="113"/>
    </row>
    <row r="17" customHeight="1" spans="1:2">
      <c r="A17" s="112"/>
      <c r="B17" s="113"/>
    </row>
    <row r="18" customHeight="1" spans="1:2">
      <c r="A18" s="112"/>
      <c r="B18" s="113"/>
    </row>
    <row r="19" customHeight="1" spans="1:2">
      <c r="A19" s="112"/>
      <c r="B19" s="113"/>
    </row>
    <row r="20" customHeight="1" spans="1:2">
      <c r="A20" s="112"/>
      <c r="B20" s="113"/>
    </row>
    <row r="21" customHeight="1" spans="1:2">
      <c r="A21" s="112"/>
      <c r="B21" s="113"/>
    </row>
    <row r="22" customHeight="1" spans="1:2">
      <c r="A22" s="112"/>
      <c r="B22" s="113"/>
    </row>
    <row r="23" customHeight="1" spans="1:2">
      <c r="A23" s="112"/>
      <c r="B23" s="113"/>
    </row>
    <row r="24" customHeight="1" spans="1:2">
      <c r="A24" s="112"/>
      <c r="B24" s="113"/>
    </row>
    <row r="25" customHeight="1" spans="1:2">
      <c r="A25" s="112"/>
      <c r="B25" s="113"/>
    </row>
    <row r="26" customHeight="1" spans="1:2">
      <c r="A26" s="112"/>
      <c r="B26" s="113"/>
    </row>
    <row r="27" customHeight="1" spans="1:2">
      <c r="A27" s="112"/>
      <c r="B27" s="113"/>
    </row>
    <row r="28" customHeight="1" spans="1:2">
      <c r="A28" s="112"/>
      <c r="B28" s="113"/>
    </row>
    <row r="29" customHeight="1" spans="1:2">
      <c r="A29" s="112"/>
      <c r="B29" s="113"/>
    </row>
    <row r="30" customHeight="1" spans="1:2">
      <c r="A30" s="112"/>
      <c r="B30" s="113"/>
    </row>
    <row r="31" customHeight="1" spans="1:2">
      <c r="A31" s="112"/>
      <c r="B31" s="113"/>
    </row>
    <row r="32" customHeight="1" spans="1:2">
      <c r="A32" s="112"/>
      <c r="B32" s="113"/>
    </row>
    <row r="33" customHeight="1" spans="1:2">
      <c r="A33" s="112"/>
      <c r="B33" s="113"/>
    </row>
    <row r="34" customHeight="1" spans="1:2">
      <c r="A34" s="112"/>
      <c r="B34" s="113"/>
    </row>
    <row r="35" customHeight="1" spans="1:6">
      <c r="A35" s="112"/>
      <c r="B35" s="113"/>
      <c r="F35" s="114"/>
    </row>
    <row r="36" customHeight="1" spans="1:6">
      <c r="A36" s="112"/>
      <c r="B36" s="113"/>
      <c r="F36" s="114"/>
    </row>
    <row r="37" customHeight="1" spans="1:6">
      <c r="A37" s="112"/>
      <c r="B37" s="113"/>
      <c r="F37" s="114"/>
    </row>
    <row r="38" customHeight="1" spans="1:6">
      <c r="A38" s="112"/>
      <c r="B38" s="113"/>
      <c r="F38" s="114"/>
    </row>
    <row r="39" customHeight="1" spans="1:6">
      <c r="A39" s="112"/>
      <c r="B39" s="113"/>
      <c r="F39" s="114"/>
    </row>
    <row r="40" customHeight="1" spans="1:6">
      <c r="A40" s="112"/>
      <c r="B40" s="113"/>
      <c r="F40" s="114"/>
    </row>
    <row r="41" customHeight="1" spans="1:6">
      <c r="A41" s="112"/>
      <c r="B41" s="113"/>
      <c r="F41" s="114"/>
    </row>
    <row r="42" customHeight="1" spans="1:6">
      <c r="A42" s="112"/>
      <c r="B42" s="113"/>
      <c r="F42" s="114"/>
    </row>
    <row r="43" customHeight="1" spans="1:6">
      <c r="A43" s="112"/>
      <c r="B43" s="113"/>
      <c r="F43" s="114"/>
    </row>
    <row r="44" customHeight="1" spans="1:6">
      <c r="A44" s="112"/>
      <c r="B44" s="113"/>
      <c r="F44" s="114"/>
    </row>
    <row r="45" customHeight="1" spans="1:6">
      <c r="A45" s="112"/>
      <c r="B45" s="113"/>
      <c r="F45" s="114"/>
    </row>
    <row r="46" customHeight="1" spans="1:6">
      <c r="A46" s="112"/>
      <c r="B46" s="113"/>
      <c r="F46" s="114"/>
    </row>
    <row r="47" customHeight="1" spans="1:6">
      <c r="A47" s="112"/>
      <c r="B47" s="113"/>
      <c r="F47" s="114"/>
    </row>
    <row r="48" customHeight="1" spans="1:6">
      <c r="A48" s="112"/>
      <c r="B48" s="113"/>
      <c r="F48" s="114"/>
    </row>
    <row r="49" customHeight="1" spans="1:6">
      <c r="A49" s="112"/>
      <c r="B49" s="113"/>
      <c r="F49" s="114"/>
    </row>
    <row r="50" customHeight="1" spans="1:6">
      <c r="A50" s="112"/>
      <c r="B50" s="113"/>
      <c r="F50" s="114"/>
    </row>
    <row r="51" customHeight="1" spans="1:6">
      <c r="A51" s="112"/>
      <c r="B51" s="113"/>
      <c r="F51" s="114"/>
    </row>
    <row r="52" customHeight="1" spans="1:6">
      <c r="A52" s="112"/>
      <c r="B52" s="113"/>
      <c r="F52" s="114"/>
    </row>
    <row r="53" customHeight="1" spans="1:6">
      <c r="A53" s="112"/>
      <c r="B53" s="113"/>
      <c r="F53" s="114"/>
    </row>
    <row r="54" customHeight="1" spans="1:6">
      <c r="A54" s="112"/>
      <c r="B54" s="113"/>
      <c r="F54" s="114"/>
    </row>
    <row r="55" customHeight="1" spans="1:6">
      <c r="A55" s="112"/>
      <c r="B55" s="113"/>
      <c r="F55" s="114"/>
    </row>
    <row r="56" customHeight="1" spans="1:6">
      <c r="A56" s="112"/>
      <c r="B56" s="113"/>
      <c r="F56" s="114"/>
    </row>
    <row r="57" customHeight="1" spans="1:6">
      <c r="A57" s="112"/>
      <c r="B57" s="113"/>
      <c r="F57" s="114"/>
    </row>
    <row r="58" customHeight="1" spans="1:6">
      <c r="A58" s="112"/>
      <c r="B58" s="113"/>
      <c r="F58" s="114"/>
    </row>
    <row r="59" customHeight="1" spans="1:6">
      <c r="A59" s="112"/>
      <c r="B59" s="113"/>
      <c r="F59" s="114"/>
    </row>
    <row r="60" customHeight="1" spans="1:6">
      <c r="A60" s="112"/>
      <c r="B60" s="113"/>
      <c r="F60" s="114"/>
    </row>
    <row r="61" customHeight="1" spans="1:6">
      <c r="A61" s="112"/>
      <c r="B61" s="113"/>
      <c r="F61" s="114"/>
    </row>
    <row r="62" customHeight="1" spans="1:6">
      <c r="A62" s="112"/>
      <c r="B62" s="113"/>
      <c r="F62" s="114"/>
    </row>
    <row r="63" customHeight="1" spans="1:6">
      <c r="A63" s="112"/>
      <c r="B63" s="113"/>
      <c r="F63" s="114"/>
    </row>
    <row r="64" customHeight="1" spans="1:6">
      <c r="A64" s="112"/>
      <c r="B64" s="113"/>
      <c r="F64" s="114"/>
    </row>
    <row r="65" customHeight="1" spans="1:6">
      <c r="A65" s="112"/>
      <c r="B65" s="113"/>
      <c r="F65" s="114"/>
    </row>
    <row r="66" customHeight="1" spans="1:6">
      <c r="A66" s="112"/>
      <c r="B66" s="113"/>
      <c r="F66" s="114"/>
    </row>
    <row r="67" customHeight="1" spans="1:6">
      <c r="A67" s="112"/>
      <c r="B67" s="113"/>
      <c r="F67" s="114"/>
    </row>
    <row r="68" customHeight="1" spans="1:6">
      <c r="A68" s="112"/>
      <c r="B68" s="113"/>
      <c r="F68" s="114"/>
    </row>
    <row r="69" customHeight="1" spans="1:6">
      <c r="A69" s="112"/>
      <c r="B69" s="113"/>
      <c r="F69" s="114"/>
    </row>
    <row r="70" customHeight="1" spans="1:6">
      <c r="A70" s="112"/>
      <c r="B70" s="113"/>
      <c r="F70" s="114"/>
    </row>
    <row r="71" customHeight="1" spans="1:6">
      <c r="A71" s="112"/>
      <c r="B71" s="113"/>
      <c r="F71" s="114"/>
    </row>
    <row r="72" customHeight="1" spans="1:6">
      <c r="A72" s="112"/>
      <c r="B72" s="113"/>
      <c r="F72" s="114"/>
    </row>
    <row r="73" customHeight="1" spans="1:6">
      <c r="A73" s="112"/>
      <c r="B73" s="113"/>
      <c r="F73" s="114"/>
    </row>
    <row r="74" customHeight="1" spans="1:6">
      <c r="A74" s="112"/>
      <c r="B74" s="113"/>
      <c r="F74" s="114"/>
    </row>
    <row r="75" customHeight="1" spans="1:6">
      <c r="A75" s="112"/>
      <c r="B75" s="113"/>
      <c r="F75" s="114"/>
    </row>
    <row r="76" customHeight="1" spans="1:6">
      <c r="A76" s="112"/>
      <c r="B76" s="113"/>
      <c r="F76" s="114"/>
    </row>
    <row r="77" customHeight="1" spans="1:6">
      <c r="A77" s="112"/>
      <c r="B77" s="113"/>
      <c r="F77" s="114"/>
    </row>
    <row r="78" customHeight="1" spans="1:6">
      <c r="A78" s="112"/>
      <c r="B78" s="113"/>
      <c r="F78" s="114"/>
    </row>
    <row r="79" customHeight="1" spans="1:6">
      <c r="A79" s="112"/>
      <c r="B79" s="113"/>
      <c r="F79" s="114"/>
    </row>
    <row r="80" customHeight="1" spans="1:20">
      <c r="A80" s="112"/>
      <c r="F80" s="143"/>
      <c r="G80" s="32"/>
      <c r="H80" s="32"/>
      <c r="I80" s="32"/>
      <c r="J80" s="32"/>
      <c r="K80" s="158"/>
      <c r="L80" s="158"/>
      <c r="M80" s="158"/>
      <c r="N80" s="158"/>
      <c r="O80" s="158"/>
      <c r="P80" s="158"/>
      <c r="Q80" s="158"/>
      <c r="R80" s="158"/>
      <c r="S80" s="32"/>
      <c r="T80" s="159"/>
    </row>
    <row r="81" customHeight="1" spans="1:22">
      <c r="A81" s="112"/>
      <c r="F81" s="143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V81" s="144"/>
    </row>
    <row r="82" customHeight="1" spans="1:22">
      <c r="A82" s="112"/>
      <c r="F82" s="143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V82" s="144"/>
    </row>
    <row r="83" customHeight="1" spans="1:22">
      <c r="A83" s="112"/>
      <c r="F83" s="143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59"/>
      <c r="V83" s="158"/>
    </row>
    <row r="84" customHeight="1" spans="1:22">
      <c r="A84" s="112"/>
      <c r="V84" s="32"/>
    </row>
    <row r="85" customHeight="1" spans="1:1">
      <c r="A85" s="112"/>
    </row>
    <row r="86" customHeight="1" spans="1:6">
      <c r="A86" s="112"/>
      <c r="B86" s="145"/>
      <c r="C86" s="146"/>
      <c r="D86" s="146"/>
      <c r="E86" s="147"/>
      <c r="F86" s="146"/>
    </row>
    <row r="87" customHeight="1" spans="1:6">
      <c r="A87" s="112"/>
      <c r="B87" s="148"/>
      <c r="C87" s="149"/>
      <c r="D87" s="149"/>
      <c r="E87" s="150"/>
      <c r="F87" s="151"/>
    </row>
    <row r="88" customHeight="1" spans="1:6">
      <c r="A88" s="112"/>
      <c r="B88" s="152"/>
      <c r="C88" s="153"/>
      <c r="D88" s="153"/>
      <c r="E88" s="154"/>
      <c r="F88" s="155"/>
    </row>
    <row r="89" customHeight="1" spans="1:1">
      <c r="A89" s="112"/>
    </row>
    <row r="90" customHeight="1" spans="1:1">
      <c r="A90" s="112"/>
    </row>
    <row r="91" customHeight="1" spans="1:1">
      <c r="A91" s="112"/>
    </row>
    <row r="92" customHeight="1" spans="1:1">
      <c r="A92" s="112"/>
    </row>
    <row r="93" customHeight="1" spans="1:6">
      <c r="A93" s="156"/>
      <c r="B93" s="152"/>
      <c r="E93" s="157"/>
      <c r="F93" s="152"/>
    </row>
    <row r="94" customHeight="1" spans="1:6">
      <c r="A94" s="156"/>
      <c r="B94" s="152"/>
      <c r="E94" s="157"/>
      <c r="F94" s="152"/>
    </row>
    <row r="95" customHeight="1" spans="1:6">
      <c r="A95" s="156"/>
      <c r="B95" s="152"/>
      <c r="E95" s="157"/>
      <c r="F95" s="152"/>
    </row>
    <row r="96" customHeight="1" spans="1:6">
      <c r="A96" s="156"/>
      <c r="B96" s="152"/>
      <c r="E96" s="157"/>
      <c r="F96" s="152"/>
    </row>
    <row r="97" customHeight="1" spans="1:6">
      <c r="A97" s="156"/>
      <c r="B97" s="152"/>
      <c r="E97" s="157"/>
      <c r="F97" s="152"/>
    </row>
    <row r="98" customHeight="1" spans="1:6">
      <c r="A98" s="156"/>
      <c r="B98" s="152"/>
      <c r="E98" s="157"/>
      <c r="F98" s="152"/>
    </row>
    <row r="99" customHeight="1" spans="1:6">
      <c r="A99" s="156"/>
      <c r="B99" s="152"/>
      <c r="E99" s="157"/>
      <c r="F99" s="152"/>
    </row>
    <row r="100" customHeight="1" spans="1:6">
      <c r="A100" s="156"/>
      <c r="B100" s="152"/>
      <c r="E100" s="157"/>
      <c r="F100" s="152"/>
    </row>
    <row r="101" customHeight="1" spans="1:6">
      <c r="A101" s="156"/>
      <c r="B101" s="152"/>
      <c r="E101" s="157"/>
      <c r="F101" s="152"/>
    </row>
    <row r="102" customHeight="1" spans="1:6">
      <c r="A102" s="156"/>
      <c r="B102" s="152"/>
      <c r="E102" s="157"/>
      <c r="F102" s="152"/>
    </row>
    <row r="103" customHeight="1" spans="1:6">
      <c r="A103" s="156"/>
      <c r="B103" s="152"/>
      <c r="E103" s="157"/>
      <c r="F103" s="152"/>
    </row>
    <row r="104" customHeight="1" spans="1:6">
      <c r="A104" s="156"/>
      <c r="B104" s="152"/>
      <c r="E104" s="157"/>
      <c r="F104" s="152"/>
    </row>
    <row r="105" customHeight="1" spans="1:6">
      <c r="A105" s="156"/>
      <c r="B105" s="152"/>
      <c r="E105" s="157"/>
      <c r="F105" s="152"/>
    </row>
    <row r="106" customHeight="1" spans="1:6">
      <c r="A106" s="156"/>
      <c r="B106" s="152"/>
      <c r="E106" s="157"/>
      <c r="F106" s="152"/>
    </row>
    <row r="107" customHeight="1" spans="1:6">
      <c r="A107" s="156"/>
      <c r="B107" s="152"/>
      <c r="E107" s="157"/>
      <c r="F107" s="152"/>
    </row>
    <row r="108" customHeight="1" spans="1:6">
      <c r="A108" s="156"/>
      <c r="B108" s="152"/>
      <c r="E108" s="157"/>
      <c r="F108" s="152"/>
    </row>
    <row r="109" customHeight="1" spans="1:6">
      <c r="A109" s="156"/>
      <c r="B109" s="152"/>
      <c r="E109" s="157"/>
      <c r="F109" s="152"/>
    </row>
    <row r="110" customHeight="1" spans="1:6">
      <c r="A110" s="156"/>
      <c r="B110" s="152"/>
      <c r="E110" s="157"/>
      <c r="F110" s="152"/>
    </row>
    <row r="111" customHeight="1" spans="1:6">
      <c r="A111" s="156"/>
      <c r="B111" s="152"/>
      <c r="E111" s="157"/>
      <c r="F111" s="152"/>
    </row>
    <row r="112" customHeight="1" spans="1:6">
      <c r="A112" s="156"/>
      <c r="B112" s="152"/>
      <c r="E112" s="157"/>
      <c r="F112" s="152"/>
    </row>
    <row r="113" customHeight="1" spans="1:6">
      <c r="A113" s="156"/>
      <c r="B113" s="152"/>
      <c r="E113" s="157"/>
      <c r="F113" s="152"/>
    </row>
    <row r="114" customHeight="1" spans="1:6">
      <c r="A114" s="156"/>
      <c r="B114" s="152"/>
      <c r="E114" s="157"/>
      <c r="F114" s="152"/>
    </row>
    <row r="115" customHeight="1" spans="1:6">
      <c r="A115" s="156"/>
      <c r="B115" s="152"/>
      <c r="E115" s="157"/>
      <c r="F115" s="152"/>
    </row>
    <row r="116" customHeight="1" spans="1:6">
      <c r="A116" s="156"/>
      <c r="B116" s="152"/>
      <c r="E116" s="157"/>
      <c r="F116" s="152"/>
    </row>
    <row r="117" customHeight="1" spans="1:6">
      <c r="A117" s="156"/>
      <c r="B117" s="152"/>
      <c r="E117" s="157"/>
      <c r="F117" s="152"/>
    </row>
    <row r="118" customHeight="1" spans="1:6">
      <c r="A118" s="156"/>
      <c r="B118" s="152"/>
      <c r="E118" s="157"/>
      <c r="F118" s="152"/>
    </row>
    <row r="119" customHeight="1" spans="1:6">
      <c r="A119" s="156"/>
      <c r="B119" s="152"/>
      <c r="E119" s="157"/>
      <c r="F119" s="152"/>
    </row>
    <row r="120" customHeight="1" spans="1:6">
      <c r="A120" s="156"/>
      <c r="B120" s="152"/>
      <c r="E120" s="157"/>
      <c r="F120" s="152"/>
    </row>
    <row r="121" customHeight="1" spans="1:6">
      <c r="A121" s="156"/>
      <c r="B121" s="152"/>
      <c r="E121" s="157"/>
      <c r="F121" s="152"/>
    </row>
    <row r="122" customHeight="1" spans="1:6">
      <c r="A122" s="156"/>
      <c r="B122" s="152"/>
      <c r="E122" s="157"/>
      <c r="F122" s="152"/>
    </row>
    <row r="123" customHeight="1" spans="1:6">
      <c r="A123" s="156"/>
      <c r="B123" s="152"/>
      <c r="E123" s="157"/>
      <c r="F123" s="152"/>
    </row>
    <row r="124" customHeight="1" spans="1:6">
      <c r="A124" s="156"/>
      <c r="B124" s="152"/>
      <c r="E124" s="157"/>
      <c r="F124" s="152"/>
    </row>
    <row r="125" customHeight="1" spans="1:6">
      <c r="A125" s="156"/>
      <c r="B125" s="152"/>
      <c r="E125" s="157"/>
      <c r="F125" s="152"/>
    </row>
    <row r="126" customHeight="1" spans="1:6">
      <c r="A126" s="156"/>
      <c r="B126" s="152"/>
      <c r="E126" s="157"/>
      <c r="F126" s="152"/>
    </row>
    <row r="127" customHeight="1" spans="1:6">
      <c r="A127" s="156"/>
      <c r="B127" s="152"/>
      <c r="E127" s="157"/>
      <c r="F127" s="152"/>
    </row>
    <row r="128" customHeight="1" spans="1:6">
      <c r="A128" s="156"/>
      <c r="B128" s="152"/>
      <c r="E128" s="157"/>
      <c r="F128" s="152"/>
    </row>
    <row r="129" customHeight="1" spans="1:6">
      <c r="A129" s="156"/>
      <c r="B129" s="152"/>
      <c r="E129" s="157"/>
      <c r="F129" s="152"/>
    </row>
    <row r="130" customHeight="1" spans="1:6">
      <c r="A130" s="156"/>
      <c r="B130" s="152"/>
      <c r="E130" s="157"/>
      <c r="F130" s="152"/>
    </row>
    <row r="131" customHeight="1" spans="1:6">
      <c r="A131" s="156"/>
      <c r="B131" s="152"/>
      <c r="E131" s="157"/>
      <c r="F131" s="152"/>
    </row>
    <row r="132" customHeight="1" spans="1:6">
      <c r="A132" s="156"/>
      <c r="B132" s="152"/>
      <c r="E132" s="157"/>
      <c r="F132" s="152"/>
    </row>
    <row r="133" customHeight="1" spans="1:6">
      <c r="A133" s="156"/>
      <c r="B133" s="152"/>
      <c r="E133" s="157"/>
      <c r="F133" s="152"/>
    </row>
    <row r="134" customHeight="1" spans="1:6">
      <c r="A134" s="156"/>
      <c r="B134" s="152"/>
      <c r="E134" s="157"/>
      <c r="F134" s="152"/>
    </row>
    <row r="135" customHeight="1" spans="1:6">
      <c r="A135" s="156"/>
      <c r="B135" s="152"/>
      <c r="E135" s="157"/>
      <c r="F135" s="152"/>
    </row>
    <row r="136" customHeight="1" spans="1:6">
      <c r="A136" s="156"/>
      <c r="B136" s="152"/>
      <c r="E136" s="157"/>
      <c r="F136" s="152"/>
    </row>
    <row r="137" customHeight="1" spans="1:6">
      <c r="A137" s="156"/>
      <c r="B137" s="152"/>
      <c r="E137" s="157"/>
      <c r="F137" s="152"/>
    </row>
    <row r="138" customHeight="1" spans="1:6">
      <c r="A138" s="156"/>
      <c r="B138" s="152"/>
      <c r="E138" s="157"/>
      <c r="F138" s="152"/>
    </row>
    <row r="139" customHeight="1" spans="1:6">
      <c r="A139" s="156"/>
      <c r="B139" s="152"/>
      <c r="E139" s="157"/>
      <c r="F139" s="152"/>
    </row>
    <row r="140" customHeight="1" spans="1:6">
      <c r="A140" s="156"/>
      <c r="B140" s="152"/>
      <c r="E140" s="157"/>
      <c r="F140" s="152"/>
    </row>
    <row r="141" customHeight="1" spans="1:6">
      <c r="A141" s="156"/>
      <c r="B141" s="152"/>
      <c r="E141" s="157"/>
      <c r="F141" s="152"/>
    </row>
    <row r="142" customHeight="1" spans="1:6">
      <c r="A142" s="156"/>
      <c r="B142" s="152"/>
      <c r="E142" s="157"/>
      <c r="F142" s="152"/>
    </row>
    <row r="143" customHeight="1" spans="1:6">
      <c r="A143" s="156"/>
      <c r="B143" s="152"/>
      <c r="E143" s="157"/>
      <c r="F143" s="152"/>
    </row>
    <row r="144" customHeight="1" spans="1:6">
      <c r="A144" s="156"/>
      <c r="B144" s="152"/>
      <c r="E144" s="157"/>
      <c r="F144" s="152"/>
    </row>
    <row r="145" customHeight="1" spans="1:6">
      <c r="A145" s="156"/>
      <c r="B145" s="152"/>
      <c r="E145" s="157"/>
      <c r="F145" s="152"/>
    </row>
    <row r="146" customHeight="1" spans="1:6">
      <c r="A146" s="156"/>
      <c r="B146" s="152"/>
      <c r="E146" s="157"/>
      <c r="F146" s="152"/>
    </row>
    <row r="147" customHeight="1" spans="1:6">
      <c r="A147" s="156"/>
      <c r="B147" s="152"/>
      <c r="E147" s="157"/>
      <c r="F147" s="152"/>
    </row>
    <row r="148" customHeight="1" spans="1:6">
      <c r="A148" s="156"/>
      <c r="B148" s="152"/>
      <c r="E148" s="157"/>
      <c r="F148" s="152"/>
    </row>
    <row r="149" customHeight="1" spans="1:6">
      <c r="A149" s="156"/>
      <c r="B149" s="152"/>
      <c r="E149" s="157"/>
      <c r="F149" s="152"/>
    </row>
    <row r="150" customHeight="1" spans="2:6">
      <c r="B150" s="160"/>
      <c r="C150" s="157"/>
      <c r="D150" s="157"/>
      <c r="E150" s="157"/>
      <c r="F150" s="114"/>
    </row>
    <row r="151" customHeight="1" spans="2:6">
      <c r="B151" s="160"/>
      <c r="C151" s="157"/>
      <c r="D151" s="157"/>
      <c r="E151" s="157"/>
      <c r="F151" s="114"/>
    </row>
    <row r="152" customHeight="1" spans="2:6">
      <c r="B152" s="161"/>
      <c r="C152" s="157"/>
      <c r="D152" s="157"/>
      <c r="E152" s="157"/>
      <c r="F152" s="114"/>
    </row>
    <row r="153" customHeight="1" spans="2:6">
      <c r="B153" s="160"/>
      <c r="C153" s="157"/>
      <c r="D153" s="157"/>
      <c r="E153" s="157"/>
      <c r="F153" s="114"/>
    </row>
    <row r="154" customHeight="1" spans="2:6">
      <c r="B154" s="160"/>
      <c r="C154" s="157"/>
      <c r="D154" s="157"/>
      <c r="E154" s="157"/>
      <c r="F154" s="114"/>
    </row>
    <row r="155" customHeight="1" spans="2:6">
      <c r="B155" s="161"/>
      <c r="C155" s="157"/>
      <c r="D155" s="157"/>
      <c r="E155" s="157"/>
      <c r="F155" s="114"/>
    </row>
    <row r="156" customHeight="1" spans="2:6">
      <c r="B156" s="160"/>
      <c r="C156" s="157"/>
      <c r="D156" s="157"/>
      <c r="E156" s="157"/>
      <c r="F156" s="114"/>
    </row>
    <row r="157" customHeight="1" spans="2:6">
      <c r="B157" s="160"/>
      <c r="C157" s="157"/>
      <c r="D157" s="157"/>
      <c r="E157" s="157"/>
      <c r="F157" s="114"/>
    </row>
    <row r="158" customHeight="1" spans="2:6">
      <c r="B158" s="160"/>
      <c r="C158" s="157"/>
      <c r="D158" s="157"/>
      <c r="E158" s="157"/>
      <c r="F158" s="114"/>
    </row>
    <row r="159" customHeight="1" spans="2:6">
      <c r="B159" s="160"/>
      <c r="C159" s="157"/>
      <c r="D159" s="157"/>
      <c r="E159" s="157"/>
      <c r="F159" s="114"/>
    </row>
    <row r="160" customHeight="1" spans="2:6">
      <c r="B160" s="160"/>
      <c r="C160" s="157"/>
      <c r="D160" s="157"/>
      <c r="E160" s="157"/>
      <c r="F160" s="114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9">
    <cfRule type="containsBlanks" dxfId="25" priority="1">
      <formula>LEN(TRIM(G9))=0</formula>
    </cfRule>
  </conditionalFormatting>
  <dataValidations count="1">
    <dataValidation type="list" allowBlank="1" showInputMessage="1" showErrorMessage="1" sqref="D9">
      <formula1>CATEGORIA</formula1>
    </dataValidation>
  </dataValidations>
  <pageMargins left="0.7" right="0.7" top="0.75" bottom="0.75" header="0.3" footer="0.3"/>
  <pageSetup paperSize="9" orientation="portrait"/>
  <headerFooter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opLeftCell="D1" workbookViewId="0">
      <selection activeCell="N6" sqref="N6"/>
    </sheetView>
  </sheetViews>
  <sheetFormatPr defaultColWidth="23.8571428571429" defaultRowHeight="15"/>
  <cols>
    <col min="4" max="4" width="27.7142857142857" customWidth="1"/>
  </cols>
  <sheetData>
    <row r="1" ht="31.5" spans="1:14">
      <c r="A1" s="49" t="s">
        <v>22</v>
      </c>
      <c r="B1" s="50" t="s">
        <v>23</v>
      </c>
      <c r="C1" s="51" t="s">
        <v>24</v>
      </c>
      <c r="D1" s="51" t="s">
        <v>82</v>
      </c>
      <c r="E1" s="52" t="s">
        <v>83</v>
      </c>
      <c r="F1" s="49" t="s">
        <v>84</v>
      </c>
      <c r="G1" s="244" t="s">
        <v>85</v>
      </c>
      <c r="H1" s="54" t="s">
        <v>40</v>
      </c>
      <c r="I1" s="245" t="s">
        <v>16</v>
      </c>
      <c r="J1" s="68" t="s">
        <v>40</v>
      </c>
      <c r="K1" s="69" t="s">
        <v>45</v>
      </c>
      <c r="M1" s="246" t="s">
        <v>86</v>
      </c>
      <c r="N1" s="70"/>
    </row>
    <row r="2" ht="18.75" spans="1:14">
      <c r="A2" s="55">
        <v>1</v>
      </c>
      <c r="B2" s="56" t="s">
        <v>87</v>
      </c>
      <c r="C2" s="57">
        <v>2004</v>
      </c>
      <c r="D2" s="57" t="s">
        <v>53</v>
      </c>
      <c r="E2" s="58" t="s">
        <v>88</v>
      </c>
      <c r="F2" s="59" t="s">
        <v>89</v>
      </c>
      <c r="G2" s="60">
        <v>1</v>
      </c>
      <c r="H2" s="61">
        <v>100</v>
      </c>
      <c r="I2" s="71"/>
      <c r="J2" s="72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73" t="str">
        <f>IFERROR(IF(E2=0,"",J2/E2),"")</f>
        <v/>
      </c>
      <c r="M2" s="74"/>
      <c r="N2" s="74"/>
    </row>
    <row r="3" spans="13:14">
      <c r="M3" s="74"/>
      <c r="N3" s="74"/>
    </row>
    <row r="5" spans="1:14">
      <c r="A5" s="62" t="s">
        <v>90</v>
      </c>
      <c r="B5" s="63" t="s">
        <v>91</v>
      </c>
      <c r="C5" s="63" t="s">
        <v>91</v>
      </c>
      <c r="D5" s="63" t="s">
        <v>92</v>
      </c>
      <c r="E5" s="64" t="s">
        <v>93</v>
      </c>
      <c r="F5" s="63" t="s">
        <v>94</v>
      </c>
      <c r="G5" s="65" t="s">
        <v>95</v>
      </c>
      <c r="H5" s="64" t="s">
        <v>90</v>
      </c>
      <c r="I5" s="65" t="s">
        <v>95</v>
      </c>
      <c r="J5" s="64" t="s">
        <v>90</v>
      </c>
      <c r="M5" s="32" t="s">
        <v>96</v>
      </c>
      <c r="N5" s="32" t="s">
        <v>97</v>
      </c>
    </row>
    <row r="6" spans="1:14">
      <c r="A6" s="62" t="s">
        <v>98</v>
      </c>
      <c r="B6" s="63" t="s">
        <v>99</v>
      </c>
      <c r="C6" s="63" t="s">
        <v>100</v>
      </c>
      <c r="D6" s="63" t="s">
        <v>101</v>
      </c>
      <c r="E6" s="64" t="s">
        <v>98</v>
      </c>
      <c r="F6" s="63" t="s">
        <v>102</v>
      </c>
      <c r="G6" s="65" t="s">
        <v>103</v>
      </c>
      <c r="H6" s="64" t="s">
        <v>98</v>
      </c>
      <c r="I6" s="65" t="s">
        <v>103</v>
      </c>
      <c r="J6" s="64" t="s">
        <v>98</v>
      </c>
      <c r="M6" s="32">
        <v>1</v>
      </c>
      <c r="N6" s="32">
        <v>100</v>
      </c>
    </row>
    <row r="7" spans="1:14">
      <c r="A7" s="62" t="s">
        <v>104</v>
      </c>
      <c r="D7" s="63"/>
      <c r="G7" s="65" t="s">
        <v>105</v>
      </c>
      <c r="H7" s="64" t="s">
        <v>106</v>
      </c>
      <c r="I7" s="65" t="s">
        <v>105</v>
      </c>
      <c r="J7" s="64" t="s">
        <v>106</v>
      </c>
      <c r="M7" s="32">
        <v>2</v>
      </c>
      <c r="N7" s="32">
        <v>90</v>
      </c>
    </row>
    <row r="8" spans="1:14">
      <c r="A8" s="62" t="s">
        <v>107</v>
      </c>
      <c r="D8" s="63" t="s">
        <v>108</v>
      </c>
      <c r="G8" s="65"/>
      <c r="H8" s="64" t="s">
        <v>109</v>
      </c>
      <c r="I8" s="65"/>
      <c r="J8" s="64" t="s">
        <v>109</v>
      </c>
      <c r="M8" s="32">
        <v>3</v>
      </c>
      <c r="N8" s="32">
        <v>85</v>
      </c>
    </row>
    <row r="9" spans="4:14">
      <c r="D9" s="63" t="s">
        <v>53</v>
      </c>
      <c r="G9" s="65" t="s">
        <v>110</v>
      </c>
      <c r="H9" s="64" t="s">
        <v>111</v>
      </c>
      <c r="I9" s="65" t="s">
        <v>110</v>
      </c>
      <c r="J9" s="64" t="s">
        <v>111</v>
      </c>
      <c r="M9" s="32">
        <v>4</v>
      </c>
      <c r="N9" s="32">
        <v>80</v>
      </c>
    </row>
    <row r="10" spans="4:14">
      <c r="D10" s="63" t="s">
        <v>47</v>
      </c>
      <c r="G10" s="65" t="s">
        <v>112</v>
      </c>
      <c r="H10" s="64" t="s">
        <v>113</v>
      </c>
      <c r="I10" s="65" t="s">
        <v>112</v>
      </c>
      <c r="J10" s="64" t="s">
        <v>113</v>
      </c>
      <c r="M10" s="32">
        <v>5</v>
      </c>
      <c r="N10" s="32">
        <v>75</v>
      </c>
    </row>
    <row r="11" spans="4:14">
      <c r="D11" s="63" t="s">
        <v>77</v>
      </c>
      <c r="G11" s="65"/>
      <c r="I11" s="65"/>
      <c r="M11" s="32">
        <v>6</v>
      </c>
      <c r="N11" s="32">
        <v>70</v>
      </c>
    </row>
    <row r="12" spans="7:14">
      <c r="G12" s="66" t="s">
        <v>114</v>
      </c>
      <c r="I12" s="66" t="s">
        <v>114</v>
      </c>
      <c r="J12" s="75" t="s">
        <v>115</v>
      </c>
      <c r="M12" s="32">
        <v>7</v>
      </c>
      <c r="N12" s="32">
        <v>67</v>
      </c>
    </row>
    <row r="13" spans="7:14">
      <c r="G13" s="66" t="s">
        <v>116</v>
      </c>
      <c r="I13" s="66" t="s">
        <v>116</v>
      </c>
      <c r="J13" s="76" t="s">
        <v>117</v>
      </c>
      <c r="M13" s="32">
        <v>8</v>
      </c>
      <c r="N13" s="32">
        <v>64</v>
      </c>
    </row>
    <row r="14" spans="7:14">
      <c r="G14" s="66" t="s">
        <v>118</v>
      </c>
      <c r="I14" s="66" t="s">
        <v>118</v>
      </c>
      <c r="J14" s="76" t="s">
        <v>119</v>
      </c>
      <c r="M14" s="32">
        <v>9</v>
      </c>
      <c r="N14" s="32">
        <v>61</v>
      </c>
    </row>
    <row r="15" spans="7:14">
      <c r="G15" s="66" t="s">
        <v>120</v>
      </c>
      <c r="I15" s="66" t="s">
        <v>120</v>
      </c>
      <c r="M15" s="32">
        <v>10</v>
      </c>
      <c r="N15" s="32">
        <v>58</v>
      </c>
    </row>
    <row r="16" spans="13:14">
      <c r="M16" s="32">
        <v>11</v>
      </c>
      <c r="N16" s="32">
        <v>55</v>
      </c>
    </row>
    <row r="17" spans="9:14">
      <c r="I17" s="77" t="s">
        <v>121</v>
      </c>
      <c r="M17" s="32">
        <v>12</v>
      </c>
      <c r="N17" s="32">
        <v>52</v>
      </c>
    </row>
    <row r="18" spans="9:14">
      <c r="I18" s="77" t="s">
        <v>122</v>
      </c>
      <c r="M18" s="32">
        <v>13</v>
      </c>
      <c r="N18" s="32">
        <v>49</v>
      </c>
    </row>
    <row r="19" spans="9:14">
      <c r="I19" s="77" t="s">
        <v>123</v>
      </c>
      <c r="M19" s="32">
        <v>14</v>
      </c>
      <c r="N19" s="32">
        <v>47</v>
      </c>
    </row>
    <row r="20" spans="9:14">
      <c r="I20" s="77" t="s">
        <v>124</v>
      </c>
      <c r="M20" s="32">
        <v>15</v>
      </c>
      <c r="N20" s="32">
        <v>45</v>
      </c>
    </row>
    <row r="21" spans="9:14">
      <c r="I21" s="77" t="s">
        <v>125</v>
      </c>
      <c r="M21" s="32">
        <v>16</v>
      </c>
      <c r="N21" s="32">
        <v>43</v>
      </c>
    </row>
    <row r="22" spans="13:14">
      <c r="M22" s="32">
        <v>17</v>
      </c>
      <c r="N22" s="32">
        <v>41</v>
      </c>
    </row>
    <row r="23" spans="13:14">
      <c r="M23" s="32">
        <v>18</v>
      </c>
      <c r="N23" s="32">
        <v>39</v>
      </c>
    </row>
    <row r="24" spans="13:14">
      <c r="M24" s="32">
        <v>19</v>
      </c>
      <c r="N24" s="32">
        <v>37</v>
      </c>
    </row>
    <row r="25" spans="13:14">
      <c r="M25" s="32">
        <v>20</v>
      </c>
      <c r="N25" s="32">
        <v>35</v>
      </c>
    </row>
    <row r="26" spans="13:14">
      <c r="M26" s="32">
        <v>21</v>
      </c>
      <c r="N26" s="32">
        <v>33</v>
      </c>
    </row>
    <row r="27" spans="13:14">
      <c r="M27" s="32">
        <v>22</v>
      </c>
      <c r="N27" s="32">
        <v>31</v>
      </c>
    </row>
    <row r="28" spans="13:14">
      <c r="M28" s="32">
        <v>23</v>
      </c>
      <c r="N28" s="32">
        <v>29</v>
      </c>
    </row>
    <row r="29" spans="13:14">
      <c r="M29" s="32">
        <v>24</v>
      </c>
      <c r="N29" s="32">
        <v>27</v>
      </c>
    </row>
    <row r="30" spans="13:14">
      <c r="M30" s="32">
        <v>25</v>
      </c>
      <c r="N30" s="32">
        <v>25</v>
      </c>
    </row>
    <row r="31" spans="13:14">
      <c r="M31" s="32">
        <v>26</v>
      </c>
      <c r="N31" s="32">
        <v>23</v>
      </c>
    </row>
    <row r="32" spans="13:14">
      <c r="M32" s="32">
        <v>27</v>
      </c>
      <c r="N32" s="32">
        <v>21</v>
      </c>
    </row>
    <row r="33" spans="13:14">
      <c r="M33" s="32">
        <v>28</v>
      </c>
      <c r="N33" s="32">
        <v>19</v>
      </c>
    </row>
    <row r="34" spans="13:14">
      <c r="M34" s="32">
        <v>29</v>
      </c>
      <c r="N34" s="32">
        <v>17</v>
      </c>
    </row>
    <row r="35" spans="13:14">
      <c r="M35" s="32">
        <v>30</v>
      </c>
      <c r="N35" s="32">
        <v>15</v>
      </c>
    </row>
    <row r="36" spans="13:14">
      <c r="M36" s="32">
        <v>31</v>
      </c>
      <c r="N36" s="32">
        <v>13</v>
      </c>
    </row>
    <row r="37" spans="13:14">
      <c r="M37" s="32">
        <v>32</v>
      </c>
      <c r="N37" s="32">
        <v>12</v>
      </c>
    </row>
    <row r="38" spans="13:14">
      <c r="M38" s="32">
        <v>33</v>
      </c>
      <c r="N38" s="32">
        <v>11</v>
      </c>
    </row>
    <row r="39" spans="13:14">
      <c r="M39" s="32">
        <v>34</v>
      </c>
      <c r="N39" s="32">
        <v>10</v>
      </c>
    </row>
    <row r="40" spans="13:14">
      <c r="M40" s="32">
        <v>35</v>
      </c>
      <c r="N40" s="32">
        <v>9</v>
      </c>
    </row>
    <row r="41" spans="13:14">
      <c r="M41" s="32">
        <v>36</v>
      </c>
      <c r="N41" s="32">
        <v>8</v>
      </c>
    </row>
    <row r="42" spans="13:14">
      <c r="M42" s="32">
        <v>37</v>
      </c>
      <c r="N42" s="32">
        <v>7</v>
      </c>
    </row>
    <row r="43" spans="13:14">
      <c r="M43" s="32">
        <v>38</v>
      </c>
      <c r="N43" s="32">
        <v>6</v>
      </c>
    </row>
    <row r="44" spans="13:14">
      <c r="M44" s="32">
        <v>39</v>
      </c>
      <c r="N44" s="32">
        <v>5</v>
      </c>
    </row>
    <row r="45" spans="13:14">
      <c r="M45" s="32">
        <v>40</v>
      </c>
      <c r="N45" s="32">
        <v>4</v>
      </c>
    </row>
    <row r="46" spans="13:14">
      <c r="M46" s="32" t="s">
        <v>78</v>
      </c>
      <c r="N46" s="32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25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I4" sqref="I4"/>
    </sheetView>
  </sheetViews>
  <sheetFormatPr defaultColWidth="16.7142857142857" defaultRowHeight="15"/>
  <sheetData>
    <row r="1" ht="15.75" spans="1:17">
      <c r="A1" s="1" t="s">
        <v>126</v>
      </c>
      <c r="B1" s="2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>
      <c r="A2" s="4"/>
      <c r="B2" s="5"/>
      <c r="C2" s="3"/>
      <c r="D2" s="6" t="s">
        <v>127</v>
      </c>
      <c r="E2" s="7"/>
      <c r="F2" s="6" t="s">
        <v>128</v>
      </c>
      <c r="G2" s="7"/>
      <c r="H2" s="6" t="s">
        <v>129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7"/>
    </row>
    <row r="3" ht="15.75" spans="1:20">
      <c r="A3" s="8"/>
      <c r="B3" s="9"/>
      <c r="C3" s="3"/>
      <c r="D3" s="10" t="s">
        <v>130</v>
      </c>
      <c r="E3" s="11">
        <f>COUNTA(MASCHI[Nome Giocatore])</f>
        <v>4</v>
      </c>
      <c r="F3" s="10" t="s">
        <v>130</v>
      </c>
      <c r="G3" s="11">
        <f>(COUNTA(MASCHI[24-mar],MASCHI[14-apr],MASCHI[data3],MASCHI[data4],MASCHI[data5],MASCHI[data6],MASCHI[data7],MASCHI[data8],MASCHI[data9],MASCHI[data10],MASCHI[data11],MASCHI[data12],MASCHI[data13],MASCHI[ DATA    ]))/'CLASSIFICA MASCHILE 13-14 anni'!T3</f>
        <v>3</v>
      </c>
      <c r="H3" s="12"/>
      <c r="I3" s="40">
        <v>2012</v>
      </c>
      <c r="J3" s="40">
        <v>2011</v>
      </c>
      <c r="K3" s="40">
        <v>2010</v>
      </c>
      <c r="L3" s="40">
        <v>2009</v>
      </c>
      <c r="M3" s="40">
        <v>2008</v>
      </c>
      <c r="N3" s="40">
        <v>2007</v>
      </c>
      <c r="O3" s="40">
        <v>2006</v>
      </c>
      <c r="P3" s="40">
        <v>2005</v>
      </c>
      <c r="Q3" s="40">
        <v>2004</v>
      </c>
      <c r="R3" s="40">
        <v>2003</v>
      </c>
      <c r="S3" s="40">
        <v>2002</v>
      </c>
      <c r="T3" s="46">
        <v>2001</v>
      </c>
    </row>
    <row r="4" ht="15.75" spans="1:20">
      <c r="A4" s="3"/>
      <c r="B4" s="3"/>
      <c r="C4" s="3"/>
      <c r="D4" s="10" t="s">
        <v>131</v>
      </c>
      <c r="E4" s="11">
        <f>COUNTA(FEMMINE[Nome Giocatore])</f>
        <v>5</v>
      </c>
      <c r="F4" s="10" t="s">
        <v>131</v>
      </c>
      <c r="G4" s="11">
        <f>(COUNTA(FEMMINE[24-mar],FEMMINE[14-apr],FEMMINE[data3],FEMMINE[data4],FEMMINE[data5],FEMMINE[data6],FEMMINE[data7],FEMMINE[data8],FEMMINE[data9],FEMMINE[data10],FEMMINE[data11],FEMMINE[data12],FEMMINE[data13],FEMMINE[ DATA    ]))/'CLASSIFICA FEMMINILE 13-14 anni'!T3</f>
        <v>3</v>
      </c>
      <c r="H4" s="13" t="s">
        <v>132</v>
      </c>
      <c r="I4" s="18">
        <f>COUNTIF(MASCHI[Anno di nascita],'Statistiche per Responsabile'!I3)</f>
        <v>0</v>
      </c>
      <c r="J4" s="18">
        <f>COUNTIF(MASCHI[Qualifica],'Statistiche per Responsabile'!J3)</f>
        <v>0</v>
      </c>
      <c r="K4" s="18">
        <f>COUNTIF(MASCHI[N° Gare],'Statistiche per Responsabile'!K3)</f>
        <v>0</v>
      </c>
      <c r="L4" s="18">
        <f>COUNTIF(MASCHI[Circolo],'Statistiche per Responsabile'!L3)</f>
        <v>0</v>
      </c>
      <c r="M4" s="18">
        <f>COUNTIF(MASCHI[24-mar],'Statistiche per Responsabile'!M3)</f>
        <v>0</v>
      </c>
      <c r="N4" s="18">
        <f>COUNTIF(MASCHI[14-apr],'Statistiche per Responsabile'!N3)</f>
        <v>0</v>
      </c>
      <c r="O4" s="18">
        <f>COUNTIF(MASCHI[data3],'Statistiche per Responsabile'!O3)</f>
        <v>0</v>
      </c>
      <c r="P4" s="18">
        <f>COUNTIF(MASCHI[data4],'Statistiche per Responsabile'!P3)</f>
        <v>0</v>
      </c>
      <c r="Q4" s="18">
        <f>COUNTIF(MASCHI[data5],'Statistiche per Responsabile'!Q3)</f>
        <v>0</v>
      </c>
      <c r="R4" s="18">
        <f>COUNTIF(MASCHI[data6],'Statistiche per Responsabile'!R3)</f>
        <v>0</v>
      </c>
      <c r="S4" s="18">
        <f>COUNTIF(MASCHI[data7],'Statistiche per Responsabile'!S3)</f>
        <v>0</v>
      </c>
      <c r="T4" s="47">
        <f>COUNTIF(MASCHI[data8],'Statistiche per Responsabile'!T3)</f>
        <v>0</v>
      </c>
    </row>
    <row r="5" ht="16.5" spans="1:20">
      <c r="A5" s="3"/>
      <c r="B5" s="3"/>
      <c r="C5" s="3"/>
      <c r="D5" s="14" t="s">
        <v>133</v>
      </c>
      <c r="E5" s="15">
        <f>E3+E4</f>
        <v>9</v>
      </c>
      <c r="F5" s="14" t="s">
        <v>133</v>
      </c>
      <c r="G5" s="15">
        <f>AVERAGE(G3:G4)</f>
        <v>3</v>
      </c>
      <c r="H5" s="16" t="s">
        <v>134</v>
      </c>
      <c r="I5" s="41">
        <f>COUNTIF(FEMMINE[Anno di nascita],'Statistiche per Responsabile'!I3)</f>
        <v>0</v>
      </c>
      <c r="J5" s="41">
        <f>COUNTIF(FEMMINE[Qualifica],'Statistiche per Responsabile'!J3)</f>
        <v>0</v>
      </c>
      <c r="K5" s="41">
        <f>COUNTIF(FEMMINE[N° Gare],'Statistiche per Responsabile'!K3)</f>
        <v>0</v>
      </c>
      <c r="L5" s="41">
        <f>COUNTIF(FEMMINE[Circolo],'Statistiche per Responsabile'!L3)</f>
        <v>0</v>
      </c>
      <c r="M5" s="41">
        <f>COUNTIF(FEMMINE[24-mar],'Statistiche per Responsabile'!M3)</f>
        <v>0</v>
      </c>
      <c r="N5" s="41">
        <f>COUNTIF(FEMMINE[14-apr],'Statistiche per Responsabile'!N3)</f>
        <v>0</v>
      </c>
      <c r="O5" s="41">
        <f>COUNTIF(FEMMINE[data3],'Statistiche per Responsabile'!O3)</f>
        <v>0</v>
      </c>
      <c r="P5" s="41">
        <f>COUNTIF(FEMMINE[data4],'Statistiche per Responsabile'!P3)</f>
        <v>0</v>
      </c>
      <c r="Q5" s="41">
        <f>COUNTIF(FEMMINE[data5],'Statistiche per Responsabile'!Q3)</f>
        <v>0</v>
      </c>
      <c r="R5" s="41">
        <f>COUNTIF(FEMMINE[data6],'Statistiche per Responsabile'!R3)</f>
        <v>0</v>
      </c>
      <c r="S5" s="41">
        <f>COUNTIF(FEMMINE[data7],'Statistiche per Responsabile'!S3)</f>
        <v>0</v>
      </c>
      <c r="T5" s="48">
        <f>COUNTIF(FEMMINE[data8],'Statistiche per Responsabile'!T3)</f>
        <v>0</v>
      </c>
    </row>
    <row r="6" ht="15.75" spans="1:17">
      <c r="A6" s="3"/>
      <c r="B6" s="3"/>
      <c r="C6" s="3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ht="16.5" spans="1:17">
      <c r="A7" s="3"/>
      <c r="B7" s="3"/>
      <c r="C7" s="3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15.75" spans="1:17">
      <c r="A8" s="3"/>
      <c r="B8" s="3"/>
      <c r="C8" s="3"/>
      <c r="D8" s="6" t="s">
        <v>135</v>
      </c>
      <c r="E8" s="19"/>
      <c r="F8" s="19"/>
      <c r="G8" s="19"/>
      <c r="H8" s="7"/>
      <c r="I8" s="6" t="s">
        <v>136</v>
      </c>
      <c r="J8" s="7"/>
      <c r="K8" s="18"/>
      <c r="L8" s="18"/>
      <c r="M8" s="18"/>
      <c r="N8" s="18"/>
      <c r="O8" s="18"/>
      <c r="P8" s="18"/>
      <c r="Q8" s="18"/>
    </row>
    <row r="9" ht="15.75" spans="1:17">
      <c r="A9" s="3"/>
      <c r="B9" s="3"/>
      <c r="C9" s="3"/>
      <c r="D9" s="20"/>
      <c r="E9" s="21" t="s">
        <v>137</v>
      </c>
      <c r="F9" s="21" t="s">
        <v>53</v>
      </c>
      <c r="G9" s="21" t="s">
        <v>47</v>
      </c>
      <c r="H9" s="11" t="s">
        <v>77</v>
      </c>
      <c r="I9" s="10" t="s">
        <v>130</v>
      </c>
      <c r="J9" s="42">
        <f>AVERAGE(MASCHI[Colonna16])</f>
        <v>3.625</v>
      </c>
      <c r="K9" s="43"/>
      <c r="L9" s="18"/>
      <c r="M9" s="18"/>
      <c r="N9" s="18"/>
      <c r="O9" s="18"/>
      <c r="P9" s="18"/>
      <c r="Q9" s="18"/>
    </row>
    <row r="10" spans="1:17">
      <c r="A10" s="3"/>
      <c r="B10" s="3"/>
      <c r="C10" s="3"/>
      <c r="D10" s="10" t="s">
        <v>130</v>
      </c>
      <c r="E10" s="22">
        <f>COUNTIFS(MASCHI[Qualifica],"")-(COUNTIFS(MASCHI[Qualifica],"",MASCHI[Nome Giocatore],""))</f>
        <v>1</v>
      </c>
      <c r="F10" s="23">
        <f>COUNTIF(MASCHI[Qualifica],"B")</f>
        <v>1</v>
      </c>
      <c r="G10" s="23">
        <f>COUNTIF(MASCHI[Qualifica],"BG")</f>
        <v>2</v>
      </c>
      <c r="H10" s="24">
        <f>COUNTIF(MASCHI[Qualifica],"BN")</f>
        <v>0</v>
      </c>
      <c r="I10" s="10" t="s">
        <v>131</v>
      </c>
      <c r="J10" s="42">
        <f>AVERAGE(FEMMINE[Colonna16])</f>
        <v>2.2</v>
      </c>
      <c r="K10" s="3"/>
      <c r="L10" s="3"/>
      <c r="M10" s="3"/>
      <c r="N10" s="3"/>
      <c r="O10" s="3"/>
      <c r="P10" s="3"/>
      <c r="Q10" s="3"/>
    </row>
    <row r="11" ht="15.75" spans="1:17">
      <c r="A11" s="3"/>
      <c r="B11" s="3"/>
      <c r="C11" s="3"/>
      <c r="D11" s="10" t="s">
        <v>131</v>
      </c>
      <c r="E11" s="22">
        <f>COUNTIFS(FEMMINE[Qualifica],"")-(COUNTIFS(FEMMINE[Qualifica],"",FEMMINE[Nome Giocatore],""))</f>
        <v>1</v>
      </c>
      <c r="F11" s="23">
        <f>COUNTIF(FEMMINE[Qualifica],"B")</f>
        <v>0</v>
      </c>
      <c r="G11" s="23">
        <f>COUNTIF(FEMMINE[Qualifica],"BG")</f>
        <v>4</v>
      </c>
      <c r="H11" s="24">
        <f>COUNTIF(FEMMINE[Qualifica],"BN")</f>
        <v>0</v>
      </c>
      <c r="I11" s="14" t="s">
        <v>133</v>
      </c>
      <c r="J11" s="44">
        <f>AVERAGE(J9:J10)</f>
        <v>2.9125</v>
      </c>
      <c r="K11" s="45"/>
      <c r="L11" s="45"/>
      <c r="M11" s="45"/>
      <c r="N11" s="45"/>
      <c r="O11" s="45"/>
      <c r="P11" s="45"/>
      <c r="Q11" s="45"/>
    </row>
    <row r="12" ht="15.75" spans="1:17">
      <c r="A12" s="3"/>
      <c r="B12" s="3"/>
      <c r="C12" s="3"/>
      <c r="D12" s="14" t="s">
        <v>133</v>
      </c>
      <c r="E12" s="25">
        <f>E10+E11</f>
        <v>2</v>
      </c>
      <c r="F12" s="25">
        <f>F10+F11</f>
        <v>1</v>
      </c>
      <c r="G12" s="25">
        <f>G10+G11</f>
        <v>6</v>
      </c>
      <c r="H12" s="15">
        <f>H10+H11</f>
        <v>0</v>
      </c>
      <c r="I12" s="45"/>
      <c r="J12" s="45"/>
      <c r="K12" s="45"/>
      <c r="L12" s="45"/>
      <c r="M12" s="45"/>
      <c r="N12" s="45"/>
      <c r="O12" s="45"/>
      <c r="P12" s="45"/>
      <c r="Q12" s="45"/>
    </row>
    <row r="13" ht="15.75" spans="1:17">
      <c r="A13" s="3"/>
      <c r="B13" s="3"/>
      <c r="C13" s="3"/>
      <c r="D13" s="17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>
      <c r="A14" s="3"/>
      <c r="B14" s="3"/>
      <c r="C14" s="3"/>
      <c r="D14" s="17"/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28"/>
      <c r="B15" s="3"/>
      <c r="C15" s="3"/>
      <c r="D15" s="1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29"/>
      <c r="B16" s="3"/>
      <c r="C16" s="30"/>
      <c r="D16" s="1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1"/>
      <c r="B17" s="32"/>
      <c r="C17" s="33"/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31"/>
      <c r="B18" s="34"/>
      <c r="C18" s="33"/>
      <c r="D18" s="1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35"/>
      <c r="B19" s="36"/>
      <c r="C19" s="33"/>
      <c r="D19" s="1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2:17">
      <c r="B20" s="37"/>
      <c r="C20" s="38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3"/>
      <c r="B21" s="3"/>
      <c r="C21" s="3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29"/>
      <c r="B22" s="3"/>
      <c r="C22" s="39"/>
      <c r="D22" s="1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31"/>
      <c r="B23" s="34"/>
      <c r="C23" s="33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31"/>
      <c r="B24" s="34"/>
      <c r="C24" s="33"/>
      <c r="D24" s="1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5"/>
      <c r="B25" s="36"/>
      <c r="C25" s="33"/>
      <c r="D25" s="1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2:17">
      <c r="B26" s="37"/>
      <c r="C26" s="38"/>
      <c r="D26" s="1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1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3"/>
      <c r="B28" s="3"/>
      <c r="C28" s="3"/>
      <c r="D28" s="1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4:4">
      <c r="D29" s="17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D2:E2"/>
    <mergeCell ref="F2:G2"/>
    <mergeCell ref="H2:T2"/>
    <mergeCell ref="D8:H8"/>
    <mergeCell ref="I8:J8"/>
    <mergeCell ref="A1:B3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Massimiliano Schneck</cp:lastModifiedBy>
  <dcterms:created xsi:type="dcterms:W3CDTF">2012-03-12T11:14:00Z</dcterms:created>
  <cp:lastPrinted>2024-04-20T05:58:00Z</cp:lastPrinted>
  <dcterms:modified xsi:type="dcterms:W3CDTF">2024-04-23T09:02:48Z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41B0F7524582401899464E11B38FC2E2_12</vt:lpwstr>
  </property>
  <property fmtid="{D5CDD505-2E9C-101B-9397-08002B2CF9AE}" pid="3" name="KSOProductBuildVer">
    <vt:lpwstr>1033-12.2.0.16731</vt:lpwstr>
  </property>
</Properties>
</file>