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zia\Desktop\Vittoria &amp; Elisabetta\Saranno Famosi 2023-2024\"/>
    </mc:Choice>
  </mc:AlternateContent>
  <bookViews>
    <workbookView xWindow="0" yWindow="0" windowWidth="17010" windowHeight="6060" tabRatio="768"/>
  </bookViews>
  <sheets>
    <sheet name="CLASSIFICA MASCHILE 13-14 anni" sheetId="5" r:id="rId1"/>
    <sheet name="CLASSIFICA MASCHILE Under 12" sheetId="11" r:id="rId2"/>
    <sheet name="CLASSIFICA FEMMINILE 13-14 anni" sheetId="9" r:id="rId3"/>
    <sheet name="SISTEMA" sheetId="10" state="hidden" r:id="rId4"/>
    <sheet name="CLASSIFICA FEMMINILE Under 12" sheetId="12" r:id="rId5"/>
    <sheet name="Istruzioni" sheetId="8" state="hidden" r:id="rId6"/>
    <sheet name="Statistiche per Responsabile" sheetId="7" r:id="rId7"/>
  </sheets>
  <definedNames>
    <definedName name="_xlnm.Print_Area" localSheetId="0">'CLASSIFICA MASCHILE 13-14 anni'!$A$2:$Y$12</definedName>
    <definedName name="_xlnm.Print_Area" localSheetId="1">'CLASSIFICA MASCHILE Under 12'!$A$2:$Y$13</definedName>
    <definedName name="CATEGORIA">SISTEMA!$C$3:$C$6</definedName>
    <definedName name="_xlnm.Print_Titles" localSheetId="0">'CLASSIFICA MASCHILE 13-14 anni'!$2:$6</definedName>
    <definedName name="_xlnm.Print_Titles" localSheetId="1">'CLASSIFICA MASCHILE Under 12'!$2:$6</definedName>
  </definedNames>
  <calcPr calcId="162913"/>
  <fileRecoveryPr autoRecover="0"/>
</workbook>
</file>

<file path=xl/calcChain.xml><?xml version="1.0" encoding="utf-8"?>
<calcChain xmlns="http://schemas.openxmlformats.org/spreadsheetml/2006/main">
  <c r="A13" i="11" l="1"/>
  <c r="E14" i="5"/>
  <c r="T14" i="5"/>
  <c r="U14" i="5"/>
  <c r="X14" i="5"/>
  <c r="Y14" i="5" s="1"/>
  <c r="A13" i="5" l="1"/>
  <c r="E13" i="11"/>
  <c r="T13" i="11"/>
  <c r="U13" i="11"/>
  <c r="X13" i="11"/>
  <c r="Y13" i="11" l="1"/>
  <c r="E13" i="5"/>
  <c r="T13" i="5"/>
  <c r="U13" i="5"/>
  <c r="X13" i="5"/>
  <c r="Y13" i="5" l="1"/>
  <c r="U9" i="9"/>
  <c r="T9" i="9"/>
  <c r="X9" i="9" s="1"/>
  <c r="E9" i="9"/>
  <c r="U12" i="9"/>
  <c r="T12" i="9"/>
  <c r="X12" i="9" s="1"/>
  <c r="E12" i="9"/>
  <c r="A9" i="11"/>
  <c r="U11" i="11"/>
  <c r="T11" i="11"/>
  <c r="X11" i="11" s="1"/>
  <c r="E11" i="11"/>
  <c r="U12" i="5"/>
  <c r="T12" i="5"/>
  <c r="X12" i="5" s="1"/>
  <c r="E12" i="5"/>
  <c r="U11" i="5"/>
  <c r="T11" i="5"/>
  <c r="X11" i="5" s="1"/>
  <c r="E11" i="5"/>
  <c r="U12" i="11"/>
  <c r="T12" i="11"/>
  <c r="X12" i="11" s="1"/>
  <c r="E12" i="11"/>
  <c r="U9" i="11"/>
  <c r="T9" i="11"/>
  <c r="X9" i="11" s="1"/>
  <c r="E9" i="11"/>
  <c r="Y9" i="9" l="1"/>
  <c r="Y12" i="9"/>
  <c r="Y11" i="11"/>
  <c r="Y12" i="5"/>
  <c r="Y11" i="5"/>
  <c r="Y12" i="11"/>
  <c r="Y9" i="11"/>
  <c r="T10" i="11"/>
  <c r="X10" i="11" s="1"/>
  <c r="T14" i="11"/>
  <c r="E13" i="9"/>
  <c r="T13" i="9"/>
  <c r="X13" i="9" s="1"/>
  <c r="U13" i="9"/>
  <c r="E11" i="9"/>
  <c r="T11" i="9"/>
  <c r="X11" i="9" s="1"/>
  <c r="U11" i="9"/>
  <c r="Y13" i="9" l="1"/>
  <c r="Y11" i="9"/>
  <c r="U10" i="11" l="1"/>
  <c r="E10" i="11"/>
  <c r="A10" i="11"/>
  <c r="E10" i="5"/>
  <c r="T10" i="5"/>
  <c r="X10" i="5" s="1"/>
  <c r="U10" i="5"/>
  <c r="U9" i="12"/>
  <c r="T9" i="12"/>
  <c r="X9" i="12" s="1"/>
  <c r="A9" i="12"/>
  <c r="V2" i="12"/>
  <c r="V3" i="12" s="1"/>
  <c r="S2" i="12"/>
  <c r="S3" i="12" s="1"/>
  <c r="R2" i="12"/>
  <c r="R3" i="12" s="1"/>
  <c r="Q2" i="12"/>
  <c r="Q3" i="12" s="1"/>
  <c r="P2" i="12"/>
  <c r="P3" i="12" s="1"/>
  <c r="O2" i="12"/>
  <c r="O3" i="12" s="1"/>
  <c r="N2" i="12"/>
  <c r="N3" i="12" s="1"/>
  <c r="M2" i="12"/>
  <c r="M3" i="12" s="1"/>
  <c r="L2" i="12"/>
  <c r="L3" i="12" s="1"/>
  <c r="K2" i="12"/>
  <c r="K3" i="12" s="1"/>
  <c r="J2" i="12"/>
  <c r="J3" i="12" s="1"/>
  <c r="I2" i="12"/>
  <c r="I3" i="12" s="1"/>
  <c r="H2" i="12"/>
  <c r="H3" i="12" s="1"/>
  <c r="G2" i="12"/>
  <c r="G3" i="12" s="1"/>
  <c r="U14" i="11"/>
  <c r="X14" i="11"/>
  <c r="E14" i="11"/>
  <c r="V2" i="11"/>
  <c r="V3" i="11" s="1"/>
  <c r="S2" i="11"/>
  <c r="S3" i="11" s="1"/>
  <c r="R2" i="11"/>
  <c r="R3" i="11" s="1"/>
  <c r="Q2" i="11"/>
  <c r="Q3" i="11" s="1"/>
  <c r="P2" i="11"/>
  <c r="P3" i="11" s="1"/>
  <c r="O2" i="11"/>
  <c r="O3" i="11" s="1"/>
  <c r="N2" i="11"/>
  <c r="N3" i="11" s="1"/>
  <c r="M2" i="11"/>
  <c r="M3" i="11" s="1"/>
  <c r="L2" i="11"/>
  <c r="L3" i="11" s="1"/>
  <c r="K2" i="11"/>
  <c r="K3" i="11" s="1"/>
  <c r="J2" i="11"/>
  <c r="J3" i="11" s="1"/>
  <c r="I2" i="11"/>
  <c r="I3" i="11" s="1"/>
  <c r="H2" i="11"/>
  <c r="H3" i="11" s="1"/>
  <c r="G2" i="11"/>
  <c r="G3" i="11" s="1"/>
  <c r="Y10" i="5" l="1"/>
  <c r="Y14" i="11"/>
  <c r="Y10" i="11"/>
  <c r="Y9" i="12"/>
  <c r="T3" i="12"/>
  <c r="T3" i="11"/>
  <c r="A9" i="5"/>
  <c r="A10" i="5" s="1"/>
  <c r="A11" i="5" l="1"/>
  <c r="A12" i="5" s="1"/>
  <c r="E9" i="5"/>
  <c r="J2" i="8" l="1"/>
  <c r="U9" i="5"/>
  <c r="U10" i="9"/>
  <c r="H11" i="7"/>
  <c r="H10" i="7"/>
  <c r="E11" i="7"/>
  <c r="E10" i="7"/>
  <c r="G11" i="7"/>
  <c r="F11" i="7"/>
  <c r="G10" i="7"/>
  <c r="F10" i="7"/>
  <c r="J4" i="7"/>
  <c r="L4" i="7"/>
  <c r="M4" i="7"/>
  <c r="N4" i="7"/>
  <c r="O4" i="7"/>
  <c r="P4" i="7"/>
  <c r="Q4" i="7"/>
  <c r="R4" i="7"/>
  <c r="S4" i="7"/>
  <c r="T4" i="7"/>
  <c r="J5" i="7"/>
  <c r="L5" i="7"/>
  <c r="M5" i="7"/>
  <c r="N5" i="7"/>
  <c r="O5" i="7"/>
  <c r="P5" i="7"/>
  <c r="Q5" i="7"/>
  <c r="R5" i="7"/>
  <c r="S5" i="7"/>
  <c r="T5" i="7"/>
  <c r="I5" i="7"/>
  <c r="I4" i="7"/>
  <c r="V2" i="9"/>
  <c r="V3" i="9" s="1"/>
  <c r="H2" i="9"/>
  <c r="H3" i="9" s="1"/>
  <c r="I2" i="9"/>
  <c r="I3" i="9" s="1"/>
  <c r="J2" i="9"/>
  <c r="J3" i="9" s="1"/>
  <c r="K2" i="9"/>
  <c r="K3" i="9" s="1"/>
  <c r="L2" i="9"/>
  <c r="L3" i="9" s="1"/>
  <c r="M2" i="9"/>
  <c r="N2" i="9"/>
  <c r="N3" i="9" s="1"/>
  <c r="O2" i="9"/>
  <c r="O3" i="9" s="1"/>
  <c r="P2" i="9"/>
  <c r="P3" i="9" s="1"/>
  <c r="Q2" i="9"/>
  <c r="Q3" i="9" s="1"/>
  <c r="R2" i="9"/>
  <c r="R3" i="9" s="1"/>
  <c r="S2" i="9"/>
  <c r="S3" i="9" s="1"/>
  <c r="G2" i="9"/>
  <c r="G3" i="9" s="1"/>
  <c r="M3" i="9"/>
  <c r="V2" i="5"/>
  <c r="V3" i="5" s="1"/>
  <c r="H2" i="5"/>
  <c r="H3" i="5" s="1"/>
  <c r="I2" i="5"/>
  <c r="I3" i="5" s="1"/>
  <c r="J2" i="5"/>
  <c r="J3" i="5" s="1"/>
  <c r="K2" i="5"/>
  <c r="K3" i="5" s="1"/>
  <c r="L2" i="5"/>
  <c r="L3" i="5" s="1"/>
  <c r="M2" i="5"/>
  <c r="M3" i="5" s="1"/>
  <c r="N2" i="5"/>
  <c r="N3" i="5" s="1"/>
  <c r="O2" i="5"/>
  <c r="O3" i="5" s="1"/>
  <c r="P2" i="5"/>
  <c r="P3" i="5" s="1"/>
  <c r="Q2" i="5"/>
  <c r="Q3" i="5" s="1"/>
  <c r="R2" i="5"/>
  <c r="R3" i="5" s="1"/>
  <c r="S2" i="5"/>
  <c r="S3" i="5" s="1"/>
  <c r="G2" i="5"/>
  <c r="G3" i="5" s="1"/>
  <c r="E4" i="7"/>
  <c r="E3" i="7"/>
  <c r="T10" i="9"/>
  <c r="X10" i="9" s="1"/>
  <c r="E10" i="9"/>
  <c r="T9" i="5"/>
  <c r="K3" i="10"/>
  <c r="X9" i="5" l="1"/>
  <c r="K5" i="7"/>
  <c r="H12" i="7"/>
  <c r="T3" i="5"/>
  <c r="G3" i="7" s="1"/>
  <c r="E12" i="7"/>
  <c r="G12" i="7"/>
  <c r="K2" i="8"/>
  <c r="J10" i="7"/>
  <c r="F12" i="7"/>
  <c r="Y10" i="9"/>
  <c r="T3" i="9"/>
  <c r="G4" i="7" s="1"/>
  <c r="G5" i="7" l="1"/>
  <c r="C3" i="10"/>
  <c r="K4" i="7" l="1"/>
  <c r="Y9" i="5"/>
  <c r="E5" i="7"/>
  <c r="J9" i="7" l="1"/>
  <c r="J11" i="7" s="1"/>
  <c r="A11" i="11"/>
  <c r="A12" i="11" s="1"/>
  <c r="A14" i="11" s="1"/>
  <c r="A9" i="9"/>
  <c r="A10" i="9"/>
  <c r="A11" i="9"/>
  <c r="A12" i="9"/>
  <c r="A13" i="9"/>
</calcChain>
</file>

<file path=xl/comments1.xml><?xml version="1.0" encoding="utf-8"?>
<comments xmlns="http://schemas.openxmlformats.org/spreadsheetml/2006/main">
  <authors>
    <author>Gianluca</author>
  </authors>
  <commentList>
    <comment ref="C16" authorId="0" shapeId="0">
      <text>
        <r>
          <rPr>
            <b/>
            <sz val="9"/>
            <color indexed="10"/>
            <rFont val="Tahoma"/>
            <family val="2"/>
          </rPr>
          <t>ATTENZIONE !
Qui vanno inseriti i numeri dei tesserati della Zona/Regione.
Tutti i numeri in BLU contengono formule.
NON TOCCARE.</t>
        </r>
      </text>
    </comment>
  </commentList>
</comments>
</file>

<file path=xl/sharedStrings.xml><?xml version="1.0" encoding="utf-8"?>
<sst xmlns="http://schemas.openxmlformats.org/spreadsheetml/2006/main" count="386" uniqueCount="142">
  <si>
    <t>1^ tappa</t>
  </si>
  <si>
    <t>2^ tappa</t>
  </si>
  <si>
    <t>3^ tappa</t>
  </si>
  <si>
    <t>4^ tappa</t>
  </si>
  <si>
    <t>5^ tappa</t>
  </si>
  <si>
    <t>6^ tappa</t>
  </si>
  <si>
    <t>Maschile</t>
  </si>
  <si>
    <t>Circolo</t>
  </si>
  <si>
    <t>Femminile</t>
  </si>
  <si>
    <t>B</t>
  </si>
  <si>
    <t>7^ tappa</t>
  </si>
  <si>
    <t>8^ tappa</t>
  </si>
  <si>
    <t>9^ tappa</t>
  </si>
  <si>
    <t>10^ tappa</t>
  </si>
  <si>
    <t>11^ tappa</t>
  </si>
  <si>
    <t>BG</t>
  </si>
  <si>
    <t>Media
punti</t>
  </si>
  <si>
    <t>Totali</t>
  </si>
  <si>
    <t>Dati statistici x Responsabile</t>
  </si>
  <si>
    <t>Nome Giocatore</t>
  </si>
  <si>
    <t>Anno di nascita</t>
  </si>
  <si>
    <t>12^ tappa</t>
  </si>
  <si>
    <t>Qualifica 
(B-BG-BN)</t>
  </si>
  <si>
    <t>N° GARE</t>
  </si>
  <si>
    <t>Circolo di appartenenza</t>
  </si>
  <si>
    <t>13^ tappa</t>
  </si>
  <si>
    <t>Colonna1</t>
  </si>
  <si>
    <t>data7</t>
  </si>
  <si>
    <t>data8</t>
  </si>
  <si>
    <t>data9</t>
  </si>
  <si>
    <t>data10</t>
  </si>
  <si>
    <t>data11</t>
  </si>
  <si>
    <t>data12</t>
  </si>
  <si>
    <t>data13</t>
  </si>
  <si>
    <t>Colonna16</t>
  </si>
  <si>
    <t>Colonna18</t>
  </si>
  <si>
    <t>Colonna20</t>
  </si>
  <si>
    <t>Elenco</t>
  </si>
  <si>
    <t>TOTALE</t>
  </si>
  <si>
    <t xml:space="preserve"> DATA    </t>
  </si>
  <si>
    <t>PUNTEGGIO FINALE</t>
  </si>
  <si>
    <t>BN</t>
  </si>
  <si>
    <t/>
  </si>
  <si>
    <t>ELENCO CATEGORIA</t>
  </si>
  <si>
    <t>TABELLA PUNTI</t>
  </si>
  <si>
    <t>DAL 41MO</t>
  </si>
  <si>
    <t>1</t>
  </si>
  <si>
    <t>100</t>
  </si>
  <si>
    <t>data1</t>
  </si>
  <si>
    <t>PRESENZE TOTALI</t>
  </si>
  <si>
    <t>PRESENZA MEDIA PER GARA</t>
  </si>
  <si>
    <t>N° PRESENZE PER ETA'</t>
  </si>
  <si>
    <t>MASCHI</t>
  </si>
  <si>
    <t>FEMMINE</t>
  </si>
  <si>
    <t>NO QUALIFICA</t>
  </si>
  <si>
    <t>PRESENZE B/BG/BN</t>
  </si>
  <si>
    <t>MEDIA N° GARE PER ATLETA</t>
  </si>
  <si>
    <t>PROGRESSIVO</t>
  </si>
  <si>
    <t>NOME DEL GIOCATORE</t>
  </si>
  <si>
    <t>ANNO DI NASCITA</t>
  </si>
  <si>
    <t>VUOTO</t>
  </si>
  <si>
    <t xml:space="preserve">DISCESA LA QUALIFICA TRA </t>
  </si>
  <si>
    <t xml:space="preserve">CALCOLATO </t>
  </si>
  <si>
    <t>AUTOMATICAMENTE</t>
  </si>
  <si>
    <t>DI APPARTENENZA</t>
  </si>
  <si>
    <t>INSERIRE LA POSIZIONE</t>
  </si>
  <si>
    <t>USARE SOLO NUMERI</t>
  </si>
  <si>
    <t>INTERI</t>
  </si>
  <si>
    <t>IN CASO DI PARIMERITO</t>
  </si>
  <si>
    <t>FINALE NELLA CLASSIFICA</t>
  </si>
  <si>
    <t>DEL TORNEO</t>
  </si>
  <si>
    <t>MARIO ROSSI</t>
  </si>
  <si>
    <t>AUTOMATICO</t>
  </si>
  <si>
    <t>PROVA</t>
  </si>
  <si>
    <t>IL PUNTEGGIO DA</t>
  </si>
  <si>
    <t>ATTRIBUIRE IN BASE</t>
  </si>
  <si>
    <t>ALLA POSIZIONE</t>
  </si>
  <si>
    <t>IN CLASSIFICA</t>
  </si>
  <si>
    <t>CLASSIFICA FINALE!</t>
  </si>
  <si>
    <t>FINALE DEL CIRCUITO</t>
  </si>
  <si>
    <t>Posizione in classifica</t>
  </si>
  <si>
    <t>Punti attribuiti</t>
  </si>
  <si>
    <t>Schema dei Punti: il sistema attribuisce automaticamente questi punteggi</t>
  </si>
  <si>
    <t>I PUNTI CONSIDERATI</t>
  </si>
  <si>
    <t>SONO AUTOMATICAMENTE</t>
  </si>
  <si>
    <t>MOLTIPLICATI PER</t>
  </si>
  <si>
    <t xml:space="preserve">1,5 COME DA </t>
  </si>
  <si>
    <t>MANUALE AZZURRO</t>
  </si>
  <si>
    <t>CALCOLA</t>
  </si>
  <si>
    <t>NON SERVONO INTERVENTI</t>
  </si>
  <si>
    <t>MANUALI</t>
  </si>
  <si>
    <t>IL NUMERO</t>
  </si>
  <si>
    <t>INSERIRE</t>
  </si>
  <si>
    <t>SCEGLIERE DALL'ELENCO A</t>
  </si>
  <si>
    <t xml:space="preserve">INSERIRE CIRCOLO </t>
  </si>
  <si>
    <t>CLASSIFICA FEMMINILE 13 e 14 ANNI</t>
  </si>
  <si>
    <t>CLASSIFICA MASCHILE 13 e 14 ANNI</t>
  </si>
  <si>
    <t>Qualifica</t>
  </si>
  <si>
    <t>N° Gare</t>
  </si>
  <si>
    <t>CLASSIFICA MASCHILE UNDER 12</t>
  </si>
  <si>
    <t>CLASSIFICA FEMMINILE UNDER 12</t>
  </si>
  <si>
    <t xml:space="preserve">TUTTI I GIOCATORI </t>
  </si>
  <si>
    <t xml:space="preserve">PRENDERANNO LO </t>
  </si>
  <si>
    <t>STESSO PUNTEGGIO</t>
  </si>
  <si>
    <t>FRANCESCHINI ALESSANDRO</t>
  </si>
  <si>
    <t>TERRENI EDOARDO</t>
  </si>
  <si>
    <t>SIMI TOMMASO</t>
  </si>
  <si>
    <t>COLOMBI GREGORIO</t>
  </si>
  <si>
    <t>GIZZI TOMMASO</t>
  </si>
  <si>
    <t>COMPOSTO RICCARDO</t>
  </si>
  <si>
    <t>VALDICHIANA</t>
  </si>
  <si>
    <t>24-mar</t>
  </si>
  <si>
    <t>BERTI EMILIO</t>
  </si>
  <si>
    <t>MONTELUPO</t>
  </si>
  <si>
    <t>LIVORNO</t>
  </si>
  <si>
    <t>TIRRENIA</t>
  </si>
  <si>
    <t>ALISEI</t>
  </si>
  <si>
    <t>GUERRINI VIOLA</t>
  </si>
  <si>
    <t>CECCARINI ALLEGRA</t>
  </si>
  <si>
    <t>MELI ELISABETTA</t>
  </si>
  <si>
    <t>GIUBILEI FLAVIO</t>
  </si>
  <si>
    <t>14-apr</t>
  </si>
  <si>
    <t>TACCONI GINEVRA</t>
  </si>
  <si>
    <t xml:space="preserve">MELI VITTORIA </t>
  </si>
  <si>
    <t>MAIONCHI MATILDE</t>
  </si>
  <si>
    <t>GALEOTTI ALESSIO</t>
  </si>
  <si>
    <t>CIRCUITO FEDERALE SARANNO FAMOSI 2024</t>
  </si>
  <si>
    <t>Zona 5</t>
  </si>
  <si>
    <t>CASTELFALFI</t>
  </si>
  <si>
    <t>PAVONIERE</t>
  </si>
  <si>
    <t>POGGIO DE MEDICI</t>
  </si>
  <si>
    <t>UGOLINO</t>
  </si>
  <si>
    <t>CASENTINO</t>
  </si>
  <si>
    <t xml:space="preserve">CASTELFALFI </t>
  </si>
  <si>
    <t>12-mag</t>
  </si>
  <si>
    <t>12-giu</t>
  </si>
  <si>
    <t xml:space="preserve"> </t>
  </si>
  <si>
    <t>16-giu</t>
  </si>
  <si>
    <t>FALVO FILIPPO</t>
  </si>
  <si>
    <t>NESTI GIANNI</t>
  </si>
  <si>
    <t>25-giu</t>
  </si>
  <si>
    <t>PETROLATI MATTEO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</si>
</sst>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70C0"/>
      <name val="Arial"/>
      <family val="2"/>
    </font>
    <font>
      <b/>
      <sz val="8"/>
      <color rgb="FF0070C0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16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.85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0"/>
      <name val="Arial"/>
      <family val="2"/>
    </font>
    <font>
      <sz val="8"/>
      <color rgb="FF0070C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indexed="10"/>
      <name val="Tahoma"/>
      <family val="2"/>
    </font>
    <font>
      <b/>
      <sz val="11"/>
      <color theme="0"/>
      <name val="Calibri"/>
      <family val="2"/>
      <scheme val="minor"/>
    </font>
    <font>
      <b/>
      <sz val="16"/>
      <color theme="0" tint="-4.9989318521683403E-2"/>
      <name val="Arial"/>
      <family val="2"/>
    </font>
    <font>
      <b/>
      <sz val="10"/>
      <color rgb="FF0070C0"/>
      <name val="Arial"/>
      <family val="2"/>
    </font>
    <font>
      <b/>
      <sz val="22"/>
      <color theme="0" tint="-4.9989318521683403E-2"/>
      <name val="Arial"/>
      <family val="2"/>
    </font>
    <font>
      <b/>
      <sz val="11"/>
      <color theme="0" tint="-0.1499984740745262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rgb="FFFFC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3"/>
      <color rgb="FF0070C0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2"/>
      <name val="Arial"/>
      <family val="2"/>
    </font>
    <font>
      <sz val="11"/>
      <color theme="0" tint="-0.14999847407452621"/>
      <name val="Arial"/>
      <family val="2"/>
    </font>
    <font>
      <sz val="8"/>
      <color theme="0" tint="-0.14999847407452621"/>
      <name val="Arial"/>
      <family val="2"/>
    </font>
    <font>
      <b/>
      <sz val="16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16"/>
      <name val="Aria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2"/>
      <color theme="0" tint="-4.9989318521683403E-2"/>
      <name val="Arial Black"/>
      <family val="2"/>
    </font>
    <font>
      <b/>
      <sz val="20"/>
      <color theme="0" tint="-4.9989318521683403E-2"/>
      <name val="Calibri"/>
      <family val="2"/>
      <scheme val="minor"/>
    </font>
    <font>
      <b/>
      <sz val="18"/>
      <color theme="0" tint="-4.9989318521683403E-2"/>
      <name val="Arial Black"/>
      <family val="2"/>
    </font>
    <font>
      <b/>
      <sz val="26"/>
      <color theme="0" tint="-4.9989318521683403E-2"/>
      <name val="Arial Black"/>
      <family val="2"/>
    </font>
    <font>
      <b/>
      <sz val="2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Arial Black"/>
      <family val="2"/>
    </font>
    <font>
      <b/>
      <sz val="14"/>
      <color theme="0"/>
      <name val="Arial"/>
      <family val="2"/>
    </font>
    <font>
      <sz val="11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2"/>
      <color theme="1"/>
      <name val="Arial Black"/>
      <family val="2"/>
    </font>
    <font>
      <sz val="8"/>
      <name val="Calibri"/>
      <family val="2"/>
      <scheme val="minor"/>
    </font>
    <font>
      <b/>
      <sz val="12"/>
      <color indexed="8"/>
      <name val="Arial"/>
    </font>
    <font>
      <b/>
      <sz val="13"/>
      <color rgb="FF0070C0"/>
      <name val="Arial"/>
    </font>
    <font>
      <sz val="8"/>
      <color theme="0" tint="-0.14999847407452621"/>
      <name val="Arial"/>
    </font>
    <font>
      <b/>
      <sz val="10"/>
      <color indexed="8"/>
      <name val="Arial"/>
    </font>
    <font>
      <sz val="11"/>
      <color theme="1"/>
      <name val="Arial"/>
    </font>
    <font>
      <b/>
      <sz val="14"/>
      <color rgb="FFFF0000"/>
      <name val="Arial"/>
    </font>
    <font>
      <b/>
      <sz val="14"/>
      <color theme="1"/>
      <name val="Calibri"/>
      <scheme val="minor"/>
    </font>
    <font>
      <sz val="11"/>
      <color theme="0" tint="-0.14999847407452621"/>
      <name val="Arial"/>
    </font>
    <font>
      <b/>
      <sz val="12"/>
      <color rgb="FFFF0000"/>
      <name val="Calibri"/>
      <scheme val="minor"/>
    </font>
    <font>
      <b/>
      <sz val="11"/>
      <color theme="0" tint="-4.9989318521683403E-2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9"/>
      <color theme="0"/>
      <name val="Arial"/>
      <family val="2"/>
    </font>
    <font>
      <b/>
      <sz val="12"/>
      <color rgb="FF0070C0"/>
      <name val="Arial"/>
    </font>
    <font>
      <b/>
      <sz val="12"/>
      <color theme="1"/>
      <name val="Calibri"/>
      <scheme val="minor"/>
    </font>
    <font>
      <sz val="12"/>
      <color indexed="8"/>
      <name val="Arial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E10C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F198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7">
    <xf numFmtId="0" fontId="0" fillId="0" borderId="0" xfId="0"/>
    <xf numFmtId="0" fontId="1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9" fontId="33" fillId="0" borderId="0" xfId="1" applyFont="1" applyAlignment="1" applyProtection="1">
      <alignment horizontal="center"/>
    </xf>
    <xf numFmtId="9" fontId="32" fillId="0" borderId="0" xfId="1" applyFont="1" applyAlignment="1" applyProtection="1">
      <alignment horizontal="center"/>
    </xf>
    <xf numFmtId="0" fontId="11" fillId="0" borderId="0" xfId="0" applyFont="1" applyAlignment="1">
      <alignment horizontal="center" vertical="center"/>
    </xf>
    <xf numFmtId="0" fontId="20" fillId="0" borderId="1" xfId="0" applyFont="1" applyBorder="1" applyAlignment="1" applyProtection="1">
      <alignment vertical="center"/>
      <protection locked="0"/>
    </xf>
    <xf numFmtId="1" fontId="3" fillId="2" borderId="1" xfId="0" applyNumberFormat="1" applyFont="1" applyFill="1" applyBorder="1" applyAlignment="1">
      <alignment vertical="center"/>
    </xf>
    <xf numFmtId="0" fontId="20" fillId="0" borderId="2" xfId="0" applyFont="1" applyBorder="1" applyAlignment="1" applyProtection="1">
      <alignment vertical="center"/>
      <protection locked="0"/>
    </xf>
    <xf numFmtId="0" fontId="44" fillId="6" borderId="1" xfId="0" applyFont="1" applyFill="1" applyBorder="1" applyAlignment="1">
      <alignment horizontal="center" vertical="center" wrapText="1"/>
    </xf>
    <xf numFmtId="0" fontId="47" fillId="3" borderId="4" xfId="0" applyFont="1" applyFill="1" applyBorder="1" applyAlignment="1">
      <alignment vertical="center" wrapText="1"/>
    </xf>
    <xf numFmtId="1" fontId="48" fillId="2" borderId="5" xfId="0" applyNumberFormat="1" applyFont="1" applyFill="1" applyBorder="1" applyAlignment="1">
      <alignment horizontal="center" vertical="center"/>
    </xf>
    <xf numFmtId="0" fontId="46" fillId="10" borderId="8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0" fillId="0" borderId="0" xfId="0" applyFont="1" applyAlignment="1">
      <alignment vertical="center"/>
    </xf>
    <xf numFmtId="0" fontId="43" fillId="2" borderId="11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 readingOrder="1"/>
    </xf>
    <xf numFmtId="0" fontId="19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9" fillId="0" borderId="1" xfId="0" applyFont="1" applyBorder="1" applyAlignment="1" applyProtection="1">
      <alignment horizontal="center" vertical="center"/>
      <protection locked="0"/>
    </xf>
    <xf numFmtId="1" fontId="49" fillId="0" borderId="1" xfId="0" applyNumberFormat="1" applyFont="1" applyBorder="1" applyAlignment="1" applyProtection="1">
      <alignment horizontal="center" vertical="center"/>
      <protection locked="0"/>
    </xf>
    <xf numFmtId="1" fontId="50" fillId="0" borderId="4" xfId="0" applyNumberFormat="1" applyFont="1" applyBorder="1" applyAlignment="1">
      <alignment horizontal="center" vertical="center"/>
    </xf>
    <xf numFmtId="1" fontId="50" fillId="0" borderId="1" xfId="0" applyNumberFormat="1" applyFont="1" applyBorder="1" applyAlignment="1">
      <alignment horizontal="center" vertical="center"/>
    </xf>
    <xf numFmtId="1" fontId="51" fillId="0" borderId="1" xfId="0" applyNumberFormat="1" applyFont="1" applyBorder="1" applyAlignment="1">
      <alignment horizontal="center" vertical="center"/>
    </xf>
    <xf numFmtId="0" fontId="44" fillId="8" borderId="1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/>
    </xf>
    <xf numFmtId="0" fontId="21" fillId="12" borderId="8" xfId="0" applyFont="1" applyFill="1" applyBorder="1" applyAlignment="1">
      <alignment horizontal="center" vertical="center"/>
    </xf>
    <xf numFmtId="0" fontId="49" fillId="0" borderId="2" xfId="0" applyFont="1" applyBorder="1" applyAlignment="1" applyProtection="1">
      <alignment horizontal="center" vertical="center"/>
      <protection locked="0"/>
    </xf>
    <xf numFmtId="0" fontId="52" fillId="0" borderId="19" xfId="0" applyFont="1" applyBorder="1" applyAlignment="1">
      <alignment horizontal="center"/>
    </xf>
    <xf numFmtId="0" fontId="53" fillId="0" borderId="20" xfId="0" applyFont="1" applyBorder="1" applyAlignment="1">
      <alignment horizontal="center"/>
    </xf>
    <xf numFmtId="0" fontId="53" fillId="0" borderId="21" xfId="0" applyFont="1" applyBorder="1" applyAlignment="1">
      <alignment horizontal="center"/>
    </xf>
    <xf numFmtId="0" fontId="53" fillId="0" borderId="22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20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53" fillId="0" borderId="20" xfId="0" applyFont="1" applyBorder="1" applyAlignment="1">
      <alignment horizontal="center" wrapText="1"/>
    </xf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center" wrapText="1"/>
    </xf>
    <xf numFmtId="0" fontId="0" fillId="0" borderId="19" xfId="0" applyBorder="1"/>
    <xf numFmtId="0" fontId="0" fillId="0" borderId="0" xfId="0" applyAlignment="1">
      <alignment horizontal="center"/>
    </xf>
    <xf numFmtId="0" fontId="53" fillId="0" borderId="24" xfId="0" applyFont="1" applyBorder="1" applyAlignment="1">
      <alignment horizontal="center"/>
    </xf>
    <xf numFmtId="0" fontId="33" fillId="0" borderId="0" xfId="0" applyFont="1"/>
    <xf numFmtId="0" fontId="35" fillId="0" borderId="0" xfId="0" applyFont="1"/>
    <xf numFmtId="0" fontId="36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55" fillId="2" borderId="1" xfId="0" applyNumberFormat="1" applyFont="1" applyFill="1" applyBorder="1" applyAlignment="1">
      <alignment vertical="center"/>
    </xf>
    <xf numFmtId="2" fontId="53" fillId="0" borderId="20" xfId="0" applyNumberFormat="1" applyFont="1" applyBorder="1" applyAlignment="1">
      <alignment horizontal="center"/>
    </xf>
    <xf numFmtId="165" fontId="53" fillId="0" borderId="22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2" fontId="56" fillId="2" borderId="1" xfId="0" applyNumberFormat="1" applyFont="1" applyFill="1" applyBorder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16" fontId="21" fillId="12" borderId="1" xfId="0" quotePrefix="1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vertical="center"/>
    </xf>
    <xf numFmtId="0" fontId="23" fillId="11" borderId="1" xfId="0" applyFont="1" applyFill="1" applyBorder="1" applyAlignment="1">
      <alignment horizontal="center" vertical="center"/>
    </xf>
    <xf numFmtId="1" fontId="4" fillId="11" borderId="1" xfId="0" applyNumberFormat="1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49" fillId="11" borderId="1" xfId="0" applyFont="1" applyFill="1" applyBorder="1" applyAlignment="1">
      <alignment horizontal="center" vertical="center"/>
    </xf>
    <xf numFmtId="1" fontId="50" fillId="11" borderId="9" xfId="0" applyNumberFormat="1" applyFont="1" applyFill="1" applyBorder="1" applyAlignment="1">
      <alignment horizontal="center" vertical="center"/>
    </xf>
    <xf numFmtId="1" fontId="49" fillId="11" borderId="1" xfId="0" applyNumberFormat="1" applyFont="1" applyFill="1" applyBorder="1" applyAlignment="1">
      <alignment horizontal="center" vertical="center"/>
    </xf>
    <xf numFmtId="1" fontId="51" fillId="11" borderId="1" xfId="0" applyNumberFormat="1" applyFont="1" applyFill="1" applyBorder="1" applyAlignment="1">
      <alignment horizontal="center" vertical="center"/>
    </xf>
    <xf numFmtId="1" fontId="48" fillId="2" borderId="1" xfId="0" applyNumberFormat="1" applyFont="1" applyFill="1" applyBorder="1" applyAlignment="1">
      <alignment horizontal="center" vertical="center"/>
    </xf>
    <xf numFmtId="0" fontId="0" fillId="14" borderId="0" xfId="0" applyFill="1" applyAlignment="1">
      <alignment horizontal="center"/>
    </xf>
    <xf numFmtId="0" fontId="54" fillId="3" borderId="1" xfId="0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center"/>
    </xf>
    <xf numFmtId="16" fontId="54" fillId="9" borderId="1" xfId="0" quotePrefix="1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9" fontId="2" fillId="0" borderId="0" xfId="1" applyFont="1" applyFill="1" applyAlignment="1" applyProtection="1">
      <alignment horizontal="center" vertical="center"/>
    </xf>
    <xf numFmtId="0" fontId="59" fillId="0" borderId="0" xfId="0" applyFont="1" applyAlignment="1">
      <alignment horizontal="center" vertical="center"/>
    </xf>
    <xf numFmtId="9" fontId="17" fillId="0" borderId="0" xfId="1" applyFont="1" applyFill="1" applyAlignment="1" applyProtection="1">
      <alignment horizontal="left" vertical="center"/>
    </xf>
    <xf numFmtId="9" fontId="12" fillId="0" borderId="0" xfId="1" applyFont="1" applyFill="1" applyAlignment="1" applyProtection="1">
      <alignment horizontal="center" vertical="center"/>
    </xf>
    <xf numFmtId="0" fontId="47" fillId="0" borderId="0" xfId="0" applyFont="1" applyAlignment="1">
      <alignment horizontal="center" vertical="center"/>
    </xf>
    <xf numFmtId="9" fontId="18" fillId="0" borderId="0" xfId="1" applyFont="1" applyFill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1" fillId="0" borderId="0" xfId="0" applyFont="1" applyAlignment="1">
      <alignment vertical="center"/>
    </xf>
    <xf numFmtId="0" fontId="62" fillId="0" borderId="0" xfId="0" applyFont="1"/>
    <xf numFmtId="0" fontId="63" fillId="7" borderId="15" xfId="0" applyFont="1" applyFill="1" applyBorder="1" applyAlignment="1">
      <alignment horizontal="right" vertical="center"/>
    </xf>
    <xf numFmtId="0" fontId="63" fillId="7" borderId="16" xfId="0" applyFont="1" applyFill="1" applyBorder="1" applyAlignment="1">
      <alignment horizontal="right" vertical="center"/>
    </xf>
    <xf numFmtId="0" fontId="63" fillId="0" borderId="13" xfId="0" applyFont="1" applyBorder="1" applyAlignment="1">
      <alignment horizontal="right" vertical="center"/>
    </xf>
    <xf numFmtId="0" fontId="63" fillId="0" borderId="14" xfId="0" applyFont="1" applyBorder="1" applyAlignment="1">
      <alignment horizontal="right" vertical="center"/>
    </xf>
    <xf numFmtId="0" fontId="63" fillId="7" borderId="13" xfId="0" applyFont="1" applyFill="1" applyBorder="1" applyAlignment="1">
      <alignment horizontal="right" vertical="center"/>
    </xf>
    <xf numFmtId="0" fontId="63" fillId="7" borderId="14" xfId="0" applyFont="1" applyFill="1" applyBorder="1" applyAlignment="1">
      <alignment horizontal="right" vertical="center"/>
    </xf>
    <xf numFmtId="0" fontId="63" fillId="0" borderId="13" xfId="0" applyFont="1" applyBorder="1" applyAlignment="1">
      <alignment vertical="center"/>
    </xf>
    <xf numFmtId="0" fontId="63" fillId="7" borderId="0" xfId="0" applyFont="1" applyFill="1" applyAlignment="1">
      <alignment horizontal="right" vertical="center"/>
    </xf>
    <xf numFmtId="16" fontId="21" fillId="12" borderId="1" xfId="0" applyNumberFormat="1" applyFont="1" applyFill="1" applyBorder="1" applyAlignment="1" applyProtection="1">
      <alignment horizontal="center" vertical="center"/>
      <protection locked="0"/>
    </xf>
    <xf numFmtId="16" fontId="21" fillId="12" borderId="5" xfId="0" applyNumberFormat="1" applyFont="1" applyFill="1" applyBorder="1" applyAlignment="1" applyProtection="1">
      <alignment horizontal="center" vertical="center"/>
      <protection locked="0"/>
    </xf>
    <xf numFmtId="16" fontId="21" fillId="12" borderId="4" xfId="0" quotePrefix="1" applyNumberFormat="1" applyFont="1" applyFill="1" applyBorder="1" applyAlignment="1" applyProtection="1">
      <alignment horizontal="center" vertical="center"/>
      <protection locked="0"/>
    </xf>
    <xf numFmtId="16" fontId="21" fillId="12" borderId="8" xfId="0" quotePrefix="1" applyNumberFormat="1" applyFont="1" applyFill="1" applyBorder="1" applyAlignment="1" applyProtection="1">
      <alignment horizontal="center" vertical="center"/>
      <protection locked="0"/>
    </xf>
    <xf numFmtId="16" fontId="45" fillId="9" borderId="4" xfId="0" quotePrefix="1" applyNumberFormat="1" applyFont="1" applyFill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0" fontId="0" fillId="14" borderId="0" xfId="0" applyFill="1"/>
    <xf numFmtId="0" fontId="0" fillId="15" borderId="0" xfId="0" applyFill="1" applyAlignment="1">
      <alignment horizontal="center"/>
    </xf>
    <xf numFmtId="0" fontId="0" fillId="15" borderId="0" xfId="0" applyFill="1"/>
    <xf numFmtId="0" fontId="27" fillId="14" borderId="0" xfId="0" applyFont="1" applyFill="1"/>
    <xf numFmtId="0" fontId="27" fillId="14" borderId="0" xfId="0" applyFont="1" applyFill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16" fontId="7" fillId="4" borderId="1" xfId="0" applyNumberFormat="1" applyFont="1" applyFill="1" applyBorder="1" applyAlignment="1" applyProtection="1">
      <alignment horizontal="center" vertical="center"/>
      <protection locked="0"/>
    </xf>
    <xf numFmtId="16" fontId="7" fillId="4" borderId="5" xfId="0" applyNumberFormat="1" applyFont="1" applyFill="1" applyBorder="1" applyAlignment="1" applyProtection="1">
      <alignment horizontal="center" vertical="center"/>
      <protection locked="0"/>
    </xf>
    <xf numFmtId="16" fontId="7" fillId="4" borderId="4" xfId="0" quotePrefix="1" applyNumberFormat="1" applyFont="1" applyFill="1" applyBorder="1" applyAlignment="1" applyProtection="1">
      <alignment horizontal="center" vertical="center"/>
      <protection locked="0"/>
    </xf>
    <xf numFmtId="16" fontId="7" fillId="4" borderId="8" xfId="0" quotePrefix="1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69" fillId="0" borderId="7" xfId="0" applyFont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1" fillId="18" borderId="0" xfId="0" applyFont="1" applyFill="1" applyAlignment="1">
      <alignment vertical="center"/>
    </xf>
    <xf numFmtId="0" fontId="67" fillId="18" borderId="0" xfId="0" applyFont="1" applyFill="1" applyAlignment="1">
      <alignment vertical="center" wrapText="1"/>
    </xf>
    <xf numFmtId="0" fontId="72" fillId="18" borderId="0" xfId="0" applyFont="1" applyFill="1" applyAlignment="1">
      <alignment vertical="center"/>
    </xf>
    <xf numFmtId="0" fontId="72" fillId="18" borderId="0" xfId="0" applyFont="1" applyFill="1" applyAlignment="1">
      <alignment horizontal="center" vertical="center"/>
    </xf>
    <xf numFmtId="0" fontId="64" fillId="18" borderId="0" xfId="0" applyFont="1" applyFill="1" applyAlignment="1">
      <alignment vertical="center"/>
    </xf>
    <xf numFmtId="0" fontId="29" fillId="18" borderId="0" xfId="0" applyFont="1" applyFill="1" applyAlignment="1">
      <alignment vertical="center"/>
    </xf>
    <xf numFmtId="0" fontId="28" fillId="18" borderId="0" xfId="0" applyFont="1" applyFill="1" applyAlignment="1">
      <alignment vertical="center"/>
    </xf>
    <xf numFmtId="0" fontId="65" fillId="18" borderId="0" xfId="0" applyFont="1" applyFill="1" applyAlignment="1">
      <alignment vertical="center"/>
    </xf>
    <xf numFmtId="0" fontId="73" fillId="18" borderId="0" xfId="0" applyFont="1" applyFill="1" applyAlignment="1">
      <alignment vertical="center"/>
    </xf>
    <xf numFmtId="0" fontId="66" fillId="0" borderId="0" xfId="0" applyFont="1" applyAlignment="1">
      <alignment vertical="center" wrapText="1"/>
    </xf>
    <xf numFmtId="0" fontId="68" fillId="0" borderId="0" xfId="0" applyFont="1" applyAlignment="1">
      <alignment vertical="center"/>
    </xf>
    <xf numFmtId="0" fontId="27" fillId="15" borderId="0" xfId="0" applyFont="1" applyFill="1"/>
    <xf numFmtId="1" fontId="62" fillId="0" borderId="0" xfId="0" applyNumberFormat="1" applyFont="1"/>
    <xf numFmtId="10" fontId="62" fillId="0" borderId="0" xfId="1" applyNumberFormat="1" applyFont="1"/>
    <xf numFmtId="166" fontId="62" fillId="0" borderId="0" xfId="2" applyNumberFormat="1" applyFont="1"/>
    <xf numFmtId="1" fontId="63" fillId="7" borderId="14" xfId="0" applyNumberFormat="1" applyFont="1" applyFill="1" applyBorder="1" applyAlignment="1">
      <alignment horizontal="right" vertical="center"/>
    </xf>
    <xf numFmtId="1" fontId="63" fillId="0" borderId="14" xfId="0" applyNumberFormat="1" applyFont="1" applyBorder="1" applyAlignment="1">
      <alignment horizontal="right" vertical="center"/>
    </xf>
    <xf numFmtId="1" fontId="62" fillId="0" borderId="0" xfId="2" applyNumberFormat="1" applyFont="1"/>
    <xf numFmtId="0" fontId="20" fillId="0" borderId="2" xfId="0" applyFont="1" applyBorder="1" applyAlignment="1" applyProtection="1">
      <alignment horizontal="center" vertical="center"/>
      <protection locked="0"/>
    </xf>
    <xf numFmtId="0" fontId="76" fillId="0" borderId="1" xfId="0" applyFont="1" applyBorder="1" applyAlignment="1" applyProtection="1">
      <alignment horizontal="center" vertical="center"/>
      <protection locked="0"/>
    </xf>
    <xf numFmtId="1" fontId="77" fillId="0" borderId="1" xfId="0" applyNumberFormat="1" applyFont="1" applyBorder="1" applyAlignment="1">
      <alignment horizontal="center" vertical="center"/>
    </xf>
    <xf numFmtId="2" fontId="78" fillId="2" borderId="1" xfId="0" applyNumberFormat="1" applyFont="1" applyFill="1" applyBorder="1" applyAlignment="1">
      <alignment vertical="center"/>
    </xf>
    <xf numFmtId="1" fontId="79" fillId="0" borderId="1" xfId="0" applyNumberFormat="1" applyFont="1" applyBorder="1" applyAlignment="1" applyProtection="1">
      <alignment horizontal="center" vertical="center"/>
      <protection locked="0"/>
    </xf>
    <xf numFmtId="1" fontId="80" fillId="2" borderId="1" xfId="0" applyNumberFormat="1" applyFont="1" applyFill="1" applyBorder="1" applyAlignment="1">
      <alignment vertical="center"/>
    </xf>
    <xf numFmtId="1" fontId="81" fillId="0" borderId="1" xfId="0" applyNumberFormat="1" applyFont="1" applyBorder="1" applyAlignment="1">
      <alignment horizontal="center" vertical="center"/>
    </xf>
    <xf numFmtId="1" fontId="82" fillId="2" borderId="5" xfId="0" applyNumberFormat="1" applyFont="1" applyFill="1" applyBorder="1" applyAlignment="1">
      <alignment horizontal="center" vertical="center"/>
    </xf>
    <xf numFmtId="0" fontId="79" fillId="0" borderId="1" xfId="0" applyFont="1" applyBorder="1" applyAlignment="1" applyProtection="1">
      <alignment horizontal="center" vertical="center"/>
      <protection locked="0"/>
    </xf>
    <xf numFmtId="0" fontId="79" fillId="0" borderId="7" xfId="0" applyFont="1" applyBorder="1" applyAlignment="1" applyProtection="1">
      <alignment horizontal="center" vertical="center"/>
      <protection locked="0"/>
    </xf>
    <xf numFmtId="0" fontId="79" fillId="5" borderId="1" xfId="0" applyFont="1" applyFill="1" applyBorder="1" applyAlignment="1" applyProtection="1">
      <alignment horizontal="center" vertical="center"/>
      <protection locked="0"/>
    </xf>
    <xf numFmtId="2" fontId="83" fillId="2" borderId="1" xfId="0" applyNumberFormat="1" applyFont="1" applyFill="1" applyBorder="1" applyAlignment="1">
      <alignment vertical="center"/>
    </xf>
    <xf numFmtId="0" fontId="84" fillId="0" borderId="7" xfId="0" applyFont="1" applyBorder="1" applyAlignment="1">
      <alignment horizontal="center" vertical="center"/>
    </xf>
    <xf numFmtId="0" fontId="85" fillId="18" borderId="0" xfId="0" applyFont="1" applyFill="1" applyAlignment="1">
      <alignment vertical="center"/>
    </xf>
    <xf numFmtId="0" fontId="27" fillId="18" borderId="0" xfId="0" applyFont="1" applyFill="1" applyAlignment="1">
      <alignment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86" fillId="0" borderId="0" xfId="0" applyFont="1" applyAlignment="1">
      <alignment horizontal="center" vertical="center"/>
    </xf>
    <xf numFmtId="9" fontId="18" fillId="0" borderId="0" xfId="1" applyFont="1" applyFill="1" applyAlignment="1" applyProtection="1">
      <alignment horizontal="left" vertical="center"/>
    </xf>
    <xf numFmtId="0" fontId="87" fillId="0" borderId="0" xfId="0" applyFont="1" applyAlignment="1">
      <alignment vertical="center" wrapText="1" readingOrder="1"/>
    </xf>
    <xf numFmtId="0" fontId="86" fillId="0" borderId="0" xfId="0" applyFont="1" applyAlignment="1">
      <alignment vertical="center" wrapText="1" readingOrder="1"/>
    </xf>
    <xf numFmtId="0" fontId="12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6" fontId="88" fillId="12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1" fontId="50" fillId="0" borderId="2" xfId="0" applyNumberFormat="1" applyFont="1" applyBorder="1" applyAlignment="1" applyProtection="1">
      <alignment horizontal="center" vertical="center"/>
    </xf>
    <xf numFmtId="2" fontId="56" fillId="2" borderId="2" xfId="0" applyNumberFormat="1" applyFont="1" applyFill="1" applyBorder="1" applyAlignment="1" applyProtection="1">
      <alignment vertical="center"/>
    </xf>
    <xf numFmtId="1" fontId="49" fillId="0" borderId="2" xfId="0" applyNumberFormat="1" applyFont="1" applyBorder="1" applyAlignment="1" applyProtection="1">
      <alignment horizontal="center" vertical="center"/>
      <protection locked="0"/>
    </xf>
    <xf numFmtId="1" fontId="3" fillId="2" borderId="2" xfId="0" applyNumberFormat="1" applyFont="1" applyFill="1" applyBorder="1" applyAlignment="1" applyProtection="1">
      <alignment vertical="center"/>
    </xf>
    <xf numFmtId="1" fontId="51" fillId="0" borderId="2" xfId="0" applyNumberFormat="1" applyFont="1" applyBorder="1" applyAlignment="1" applyProtection="1">
      <alignment horizontal="center" vertical="center"/>
    </xf>
    <xf numFmtId="1" fontId="48" fillId="2" borderId="10" xfId="0" applyNumberFormat="1" applyFont="1" applyFill="1" applyBorder="1" applyAlignment="1" applyProtection="1">
      <alignment horizontal="center" vertical="center"/>
    </xf>
    <xf numFmtId="1" fontId="4" fillId="0" borderId="2" xfId="0" applyNumberFormat="1" applyFont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69" fillId="0" borderId="25" xfId="0" applyNumberFormat="1" applyFont="1" applyBorder="1" applyAlignment="1" applyProtection="1">
      <alignment horizontal="center" vertical="center"/>
    </xf>
    <xf numFmtId="1" fontId="4" fillId="0" borderId="25" xfId="0" applyNumberFormat="1" applyFont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vertical="center"/>
      <protection locked="0"/>
    </xf>
    <xf numFmtId="16" fontId="88" fillId="4" borderId="1" xfId="0" applyNumberFormat="1" applyFont="1" applyFill="1" applyBorder="1" applyAlignment="1" applyProtection="1">
      <alignment horizontal="center" vertical="center"/>
      <protection locked="0"/>
    </xf>
    <xf numFmtId="0" fontId="76" fillId="0" borderId="2" xfId="0" applyFont="1" applyBorder="1" applyAlignment="1" applyProtection="1">
      <alignment horizontal="center" vertical="center"/>
      <protection locked="0"/>
    </xf>
    <xf numFmtId="0" fontId="91" fillId="0" borderId="1" xfId="0" applyFont="1" applyBorder="1" applyAlignment="1" applyProtection="1">
      <alignment vertical="center"/>
      <protection locked="0"/>
    </xf>
    <xf numFmtId="1" fontId="77" fillId="0" borderId="1" xfId="0" applyNumberFormat="1" applyFont="1" applyBorder="1" applyAlignment="1" applyProtection="1">
      <alignment horizontal="center" vertical="center"/>
    </xf>
    <xf numFmtId="2" fontId="78" fillId="2" borderId="1" xfId="0" applyNumberFormat="1" applyFont="1" applyFill="1" applyBorder="1" applyAlignment="1" applyProtection="1">
      <alignment vertical="center"/>
    </xf>
    <xf numFmtId="1" fontId="80" fillId="2" borderId="1" xfId="0" applyNumberFormat="1" applyFont="1" applyFill="1" applyBorder="1" applyAlignment="1" applyProtection="1">
      <alignment vertical="center"/>
    </xf>
    <xf numFmtId="1" fontId="81" fillId="0" borderId="1" xfId="0" applyNumberFormat="1" applyFont="1" applyBorder="1" applyAlignment="1" applyProtection="1">
      <alignment horizontal="center" vertical="center"/>
    </xf>
    <xf numFmtId="1" fontId="82" fillId="2" borderId="5" xfId="0" applyNumberFormat="1" applyFont="1" applyFill="1" applyBorder="1" applyAlignment="1" applyProtection="1">
      <alignment horizontal="center" vertical="center"/>
    </xf>
    <xf numFmtId="0" fontId="84" fillId="0" borderId="7" xfId="0" applyNumberFormat="1" applyFont="1" applyBorder="1" applyAlignment="1" applyProtection="1">
      <alignment horizontal="center" vertical="center"/>
    </xf>
    <xf numFmtId="0" fontId="69" fillId="0" borderId="25" xfId="0" applyFont="1" applyBorder="1" applyAlignment="1">
      <alignment horizontal="center" vertical="center"/>
    </xf>
    <xf numFmtId="0" fontId="76" fillId="0" borderId="1" xfId="0" applyFont="1" applyBorder="1" applyAlignment="1" applyProtection="1">
      <alignment vertical="center"/>
      <protection locked="0"/>
    </xf>
    <xf numFmtId="1" fontId="89" fillId="0" borderId="1" xfId="0" applyNumberFormat="1" applyFont="1" applyBorder="1" applyAlignment="1" applyProtection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0" fontId="90" fillId="0" borderId="1" xfId="0" applyFont="1" applyBorder="1" applyAlignment="1" applyProtection="1">
      <alignment horizontal="center" vertical="center"/>
      <protection locked="0"/>
    </xf>
    <xf numFmtId="1" fontId="77" fillId="0" borderId="2" xfId="0" applyNumberFormat="1" applyFont="1" applyBorder="1" applyAlignment="1">
      <alignment horizontal="center" vertical="center"/>
    </xf>
    <xf numFmtId="2" fontId="56" fillId="2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51" fillId="0" borderId="2" xfId="0" applyNumberFormat="1" applyFont="1" applyBorder="1" applyAlignment="1">
      <alignment horizontal="center" vertical="center"/>
    </xf>
    <xf numFmtId="1" fontId="48" fillId="2" borderId="10" xfId="0" applyNumberFormat="1" applyFont="1" applyFill="1" applyBorder="1" applyAlignment="1">
      <alignment horizontal="center" vertical="center"/>
    </xf>
    <xf numFmtId="0" fontId="49" fillId="0" borderId="7" xfId="0" applyFont="1" applyBorder="1" applyAlignment="1" applyProtection="1">
      <alignment horizontal="center" vertical="center"/>
      <protection locked="0"/>
    </xf>
    <xf numFmtId="1" fontId="77" fillId="0" borderId="4" xfId="0" applyNumberFormat="1" applyFont="1" applyBorder="1" applyAlignment="1">
      <alignment horizontal="center" vertical="center"/>
    </xf>
    <xf numFmtId="0" fontId="84" fillId="0" borderId="25" xfId="0" applyNumberFormat="1" applyFont="1" applyBorder="1" applyAlignment="1" applyProtection="1">
      <alignment horizontal="center" vertical="center"/>
    </xf>
    <xf numFmtId="0" fontId="76" fillId="0" borderId="10" xfId="0" applyFont="1" applyBorder="1" applyAlignment="1" applyProtection="1">
      <alignment vertical="center"/>
      <protection locked="0"/>
    </xf>
    <xf numFmtId="0" fontId="76" fillId="0" borderId="25" xfId="0" applyFont="1" applyBorder="1" applyAlignment="1" applyProtection="1">
      <alignment horizontal="center" vertical="center"/>
      <protection locked="0"/>
    </xf>
    <xf numFmtId="1" fontId="89" fillId="0" borderId="25" xfId="0" applyNumberFormat="1" applyFont="1" applyBorder="1" applyAlignment="1" applyProtection="1">
      <alignment horizontal="center" vertical="center"/>
    </xf>
    <xf numFmtId="0" fontId="90" fillId="0" borderId="12" xfId="0" applyFont="1" applyBorder="1" applyAlignment="1" applyProtection="1">
      <alignment horizontal="center" vertical="center"/>
      <protection locked="0"/>
    </xf>
    <xf numFmtId="0" fontId="91" fillId="0" borderId="12" xfId="0" applyFont="1" applyBorder="1" applyAlignment="1" applyProtection="1">
      <alignment vertical="center"/>
      <protection locked="0"/>
    </xf>
    <xf numFmtId="0" fontId="91" fillId="0" borderId="2" xfId="0" applyFont="1" applyBorder="1" applyAlignment="1" applyProtection="1">
      <alignment vertical="center"/>
      <protection locked="0"/>
    </xf>
    <xf numFmtId="1" fontId="77" fillId="0" borderId="2" xfId="0" applyNumberFormat="1" applyFont="1" applyBorder="1" applyAlignment="1" applyProtection="1">
      <alignment horizontal="center" vertical="center"/>
    </xf>
    <xf numFmtId="2" fontId="78" fillId="2" borderId="2" xfId="0" applyNumberFormat="1" applyFont="1" applyFill="1" applyBorder="1" applyAlignment="1" applyProtection="1">
      <alignment vertical="center"/>
    </xf>
    <xf numFmtId="1" fontId="79" fillId="0" borderId="2" xfId="0" applyNumberFormat="1" applyFont="1" applyBorder="1" applyAlignment="1" applyProtection="1">
      <alignment horizontal="center" vertical="center"/>
      <protection locked="0"/>
    </xf>
    <xf numFmtId="1" fontId="80" fillId="2" borderId="2" xfId="0" applyNumberFormat="1" applyFont="1" applyFill="1" applyBorder="1" applyAlignment="1" applyProtection="1">
      <alignment vertical="center"/>
    </xf>
    <xf numFmtId="1" fontId="81" fillId="0" borderId="2" xfId="0" applyNumberFormat="1" applyFont="1" applyBorder="1" applyAlignment="1" applyProtection="1">
      <alignment horizontal="center" vertical="center"/>
    </xf>
    <xf numFmtId="1" fontId="82" fillId="2" borderId="10" xfId="0" applyNumberFormat="1" applyFont="1" applyFill="1" applyBorder="1" applyAlignment="1" applyProtection="1">
      <alignment horizontal="center" vertical="center"/>
    </xf>
    <xf numFmtId="0" fontId="67" fillId="17" borderId="26" xfId="0" applyFont="1" applyFill="1" applyBorder="1" applyAlignment="1">
      <alignment horizontal="center" vertical="center" wrapText="1"/>
    </xf>
    <xf numFmtId="0" fontId="67" fillId="17" borderId="27" xfId="0" applyFont="1" applyFill="1" applyBorder="1" applyAlignment="1">
      <alignment horizontal="center" vertical="center" wrapText="1"/>
    </xf>
    <xf numFmtId="0" fontId="67" fillId="17" borderId="28" xfId="0" applyFont="1" applyFill="1" applyBorder="1" applyAlignment="1">
      <alignment horizontal="center" vertical="center" wrapText="1"/>
    </xf>
    <xf numFmtId="0" fontId="66" fillId="16" borderId="10" xfId="0" applyFont="1" applyFill="1" applyBorder="1" applyAlignment="1">
      <alignment horizontal="center" vertical="center" wrapText="1"/>
    </xf>
    <xf numFmtId="0" fontId="66" fillId="16" borderId="25" xfId="0" applyFont="1" applyFill="1" applyBorder="1" applyAlignment="1">
      <alignment horizontal="center" vertical="center" wrapText="1"/>
    </xf>
    <xf numFmtId="0" fontId="66" fillId="16" borderId="12" xfId="0" applyFont="1" applyFill="1" applyBorder="1" applyAlignment="1">
      <alignment horizontal="center" vertical="center" wrapText="1"/>
    </xf>
    <xf numFmtId="0" fontId="66" fillId="16" borderId="8" xfId="0" applyFont="1" applyFill="1" applyBorder="1" applyAlignment="1">
      <alignment horizontal="center" vertical="center" wrapText="1"/>
    </xf>
    <xf numFmtId="0" fontId="66" fillId="16" borderId="6" xfId="0" applyFont="1" applyFill="1" applyBorder="1" applyAlignment="1">
      <alignment horizontal="center" vertical="center" wrapText="1"/>
    </xf>
    <xf numFmtId="0" fontId="66" fillId="16" borderId="1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1" fillId="3" borderId="3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70" fillId="9" borderId="3" xfId="0" applyFont="1" applyFill="1" applyBorder="1" applyAlignment="1">
      <alignment horizontal="center" vertical="center" wrapText="1"/>
    </xf>
    <xf numFmtId="0" fontId="70" fillId="9" borderId="4" xfId="0" applyFont="1" applyFill="1" applyBorder="1" applyAlignment="1">
      <alignment horizontal="center" vertical="center" wrapText="1"/>
    </xf>
    <xf numFmtId="0" fontId="42" fillId="6" borderId="10" xfId="0" applyFont="1" applyFill="1" applyBorder="1" applyAlignment="1">
      <alignment horizontal="center" vertical="center"/>
    </xf>
    <xf numFmtId="0" fontId="42" fillId="6" borderId="25" xfId="0" applyFont="1" applyFill="1" applyBorder="1" applyAlignment="1">
      <alignment horizontal="center" vertical="center"/>
    </xf>
    <xf numFmtId="0" fontId="42" fillId="6" borderId="12" xfId="0" applyFont="1" applyFill="1" applyBorder="1" applyAlignment="1">
      <alignment horizontal="center" vertical="center"/>
    </xf>
    <xf numFmtId="0" fontId="42" fillId="6" borderId="8" xfId="0" applyFont="1" applyFill="1" applyBorder="1" applyAlignment="1">
      <alignment horizontal="center" vertical="center"/>
    </xf>
    <xf numFmtId="0" fontId="42" fillId="6" borderId="6" xfId="0" applyFont="1" applyFill="1" applyBorder="1" applyAlignment="1">
      <alignment horizontal="center" vertical="center"/>
    </xf>
    <xf numFmtId="0" fontId="42" fillId="6" borderId="11" xfId="0" applyFont="1" applyFill="1" applyBorder="1" applyAlignment="1">
      <alignment horizontal="center" vertical="center"/>
    </xf>
    <xf numFmtId="0" fontId="66" fillId="13" borderId="10" xfId="0" applyFont="1" applyFill="1" applyBorder="1" applyAlignment="1">
      <alignment horizontal="center" vertical="center" wrapText="1"/>
    </xf>
    <xf numFmtId="0" fontId="66" fillId="13" borderId="25" xfId="0" applyFont="1" applyFill="1" applyBorder="1" applyAlignment="1">
      <alignment horizontal="center" vertical="center" wrapText="1"/>
    </xf>
    <xf numFmtId="0" fontId="66" fillId="13" borderId="12" xfId="0" applyFont="1" applyFill="1" applyBorder="1" applyAlignment="1">
      <alignment horizontal="center" vertical="center" wrapText="1"/>
    </xf>
    <xf numFmtId="0" fontId="66" fillId="13" borderId="8" xfId="0" applyFont="1" applyFill="1" applyBorder="1" applyAlignment="1">
      <alignment horizontal="center" vertical="center" wrapText="1"/>
    </xf>
    <xf numFmtId="0" fontId="66" fillId="13" borderId="6" xfId="0" applyFont="1" applyFill="1" applyBorder="1" applyAlignment="1">
      <alignment horizontal="center" vertical="center" wrapText="1"/>
    </xf>
    <xf numFmtId="0" fontId="66" fillId="13" borderId="11" xfId="0" applyFont="1" applyFill="1" applyBorder="1" applyAlignment="1">
      <alignment horizontal="center" vertical="center" wrapText="1"/>
    </xf>
    <xf numFmtId="0" fontId="74" fillId="9" borderId="3" xfId="0" applyFont="1" applyFill="1" applyBorder="1" applyAlignment="1">
      <alignment horizontal="center" vertical="center" wrapText="1"/>
    </xf>
    <xf numFmtId="0" fontId="74" fillId="9" borderId="4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42" fillId="13" borderId="10" xfId="0" applyFont="1" applyFill="1" applyBorder="1" applyAlignment="1">
      <alignment horizontal="center" vertical="center"/>
    </xf>
    <xf numFmtId="0" fontId="42" fillId="13" borderId="25" xfId="0" applyFont="1" applyFill="1" applyBorder="1" applyAlignment="1">
      <alignment horizontal="center" vertical="center"/>
    </xf>
    <xf numFmtId="0" fontId="42" fillId="13" borderId="12" xfId="0" applyFont="1" applyFill="1" applyBorder="1" applyAlignment="1">
      <alignment horizontal="center" vertical="center"/>
    </xf>
    <xf numFmtId="0" fontId="42" fillId="13" borderId="8" xfId="0" applyFont="1" applyFill="1" applyBorder="1" applyAlignment="1">
      <alignment horizontal="center" vertical="center"/>
    </xf>
    <xf numFmtId="0" fontId="42" fillId="13" borderId="6" xfId="0" applyFont="1" applyFill="1" applyBorder="1" applyAlignment="1">
      <alignment horizontal="center" vertical="center"/>
    </xf>
    <xf numFmtId="0" fontId="42" fillId="13" borderId="11" xfId="0" applyFont="1" applyFill="1" applyBorder="1" applyAlignment="1">
      <alignment horizontal="center" vertical="center"/>
    </xf>
    <xf numFmtId="16" fontId="60" fillId="9" borderId="25" xfId="0" quotePrefix="1" applyNumberFormat="1" applyFont="1" applyFill="1" applyBorder="1" applyAlignment="1">
      <alignment horizontal="center" vertical="center" wrapText="1"/>
    </xf>
    <xf numFmtId="16" fontId="60" fillId="9" borderId="0" xfId="0" quotePrefix="1" applyNumberFormat="1" applyFont="1" applyFill="1" applyAlignment="1">
      <alignment horizontal="center" vertical="center" wrapText="1"/>
    </xf>
    <xf numFmtId="0" fontId="57" fillId="0" borderId="17" xfId="0" applyFont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57" fillId="0" borderId="22" xfId="0" applyFont="1" applyBorder="1" applyAlignment="1">
      <alignment horizontal="center" vertical="center" wrapText="1"/>
    </xf>
    <xf numFmtId="0" fontId="53" fillId="2" borderId="17" xfId="0" applyFont="1" applyFill="1" applyBorder="1" applyAlignment="1">
      <alignment horizontal="center"/>
    </xf>
    <xf numFmtId="0" fontId="53" fillId="2" borderId="18" xfId="0" applyFont="1" applyFill="1" applyBorder="1" applyAlignment="1">
      <alignment horizontal="center"/>
    </xf>
    <xf numFmtId="0" fontId="53" fillId="2" borderId="23" xfId="0" applyFont="1" applyFill="1" applyBorder="1" applyAlignment="1">
      <alignment horizontal="center"/>
    </xf>
  </cellXfs>
  <cellStyles count="3">
    <cellStyle name="Migliaia" xfId="2" builtinId="3"/>
    <cellStyle name="Normale" xfId="0" builtinId="0"/>
    <cellStyle name="Percentuale" xfId="1" builtinId="5"/>
  </cellStyles>
  <dxfs count="14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theme="1" tint="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rgb="FF000000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1" tint="0.499984740745262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outline="0">
        <right style="thin">
          <color theme="4" tint="0.39997558519241921"/>
        </right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indexed="64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rgb="FF000000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indexed="64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colors>
    <mruColors>
      <color rgb="FFEF1984"/>
      <color rgb="FFDE10C1"/>
      <color rgb="FFF18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2556808</xdr:colOff>
      <xdr:row>0</xdr:row>
      <xdr:rowOff>82979</xdr:rowOff>
    </xdr:from>
    <xdr:to>
      <xdr:col>2</xdr:col>
      <xdr:colOff>367393</xdr:colOff>
      <xdr:row>0</xdr:row>
      <xdr:rowOff>775606</xdr:rowOff>
    </xdr:to>
    <xdr:pic>
      <xdr:nvPicPr>
        <xdr:cNvPr id="6" name="Immagine 5" descr="FIG_unico_piccolo_e_grande_08">
          <a:extLst>
            <a:ext uri="{FF2B5EF4-FFF2-40B4-BE49-F238E27FC236}">
              <a16:creationId xmlns:a16="http://schemas.microsoft.com/office/drawing/2014/main" id="{E7899AD2-3D82-44E0-A5CF-54504379D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0772" y="82979"/>
          <a:ext cx="654478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843644</xdr:colOff>
      <xdr:row>0</xdr:row>
      <xdr:rowOff>0</xdr:rowOff>
    </xdr:from>
    <xdr:to>
      <xdr:col>21</xdr:col>
      <xdr:colOff>476252</xdr:colOff>
      <xdr:row>0</xdr:row>
      <xdr:rowOff>898071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C151C2C-2841-4379-B0AB-EF860694760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1" y="0"/>
          <a:ext cx="911679" cy="898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2774523</xdr:colOff>
      <xdr:row>0</xdr:row>
      <xdr:rowOff>96587</xdr:rowOff>
    </xdr:from>
    <xdr:to>
      <xdr:col>2</xdr:col>
      <xdr:colOff>572203</xdr:colOff>
      <xdr:row>0</xdr:row>
      <xdr:rowOff>789214</xdr:rowOff>
    </xdr:to>
    <xdr:pic>
      <xdr:nvPicPr>
        <xdr:cNvPr id="2" name="Immagine 1" descr="FIG_unico_piccolo_e_grande_08">
          <a:extLst>
            <a:ext uri="{FF2B5EF4-FFF2-40B4-BE49-F238E27FC236}">
              <a16:creationId xmlns:a16="http://schemas.microsoft.com/office/drawing/2014/main" id="{09174DD0-200F-4FEB-9F4F-F74F48788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8487" y="96587"/>
          <a:ext cx="641573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136072</xdr:colOff>
      <xdr:row>0</xdr:row>
      <xdr:rowOff>13607</xdr:rowOff>
    </xdr:from>
    <xdr:to>
      <xdr:col>21</xdr:col>
      <xdr:colOff>1047751</xdr:colOff>
      <xdr:row>0</xdr:row>
      <xdr:rowOff>911678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ACB00CB-C756-4FCF-BA67-A4C234D62AB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43" y="13607"/>
          <a:ext cx="911679" cy="8980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2592027</xdr:colOff>
      <xdr:row>0</xdr:row>
      <xdr:rowOff>130205</xdr:rowOff>
    </xdr:from>
    <xdr:to>
      <xdr:col>2</xdr:col>
      <xdr:colOff>446137</xdr:colOff>
      <xdr:row>0</xdr:row>
      <xdr:rowOff>822832</xdr:rowOff>
    </xdr:to>
    <xdr:pic>
      <xdr:nvPicPr>
        <xdr:cNvPr id="10" name="Immagine 9" descr="FIG_unico_piccolo_e_grande_08">
          <a:extLst>
            <a:ext uri="{FF2B5EF4-FFF2-40B4-BE49-F238E27FC236}">
              <a16:creationId xmlns:a16="http://schemas.microsoft.com/office/drawing/2014/main" id="{4F2F2B0E-F5C6-44C2-A2A8-C32BC6B04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792" y="130205"/>
          <a:ext cx="689198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782011</xdr:colOff>
      <xdr:row>0</xdr:row>
      <xdr:rowOff>0</xdr:rowOff>
    </xdr:from>
    <xdr:to>
      <xdr:col>21</xdr:col>
      <xdr:colOff>413019</xdr:colOff>
      <xdr:row>0</xdr:row>
      <xdr:rowOff>900793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9CC1490D-82B6-4D4C-A173-9D9EB943A9F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9040" y="0"/>
          <a:ext cx="930889" cy="9007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743918</xdr:colOff>
      <xdr:row>0</xdr:row>
      <xdr:rowOff>96587</xdr:rowOff>
    </xdr:from>
    <xdr:to>
      <xdr:col>3</xdr:col>
      <xdr:colOff>172885</xdr:colOff>
      <xdr:row>0</xdr:row>
      <xdr:rowOff>789214</xdr:rowOff>
    </xdr:to>
    <xdr:pic>
      <xdr:nvPicPr>
        <xdr:cNvPr id="2" name="Immagine 1" descr="FIG_unico_piccolo_e_grande_08">
          <a:extLst>
            <a:ext uri="{FF2B5EF4-FFF2-40B4-BE49-F238E27FC236}">
              <a16:creationId xmlns:a16="http://schemas.microsoft.com/office/drawing/2014/main" id="{6E02C509-788E-4039-80DA-CA074874B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5495" y="96587"/>
          <a:ext cx="689198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572548</xdr:colOff>
      <xdr:row>0</xdr:row>
      <xdr:rowOff>0</xdr:rowOff>
    </xdr:from>
    <xdr:to>
      <xdr:col>21</xdr:col>
      <xdr:colOff>227135</xdr:colOff>
      <xdr:row>0</xdr:row>
      <xdr:rowOff>900793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451B79A-711E-4041-8CFB-7CF2DBC7D40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8163" y="0"/>
          <a:ext cx="914818" cy="90079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MASCHI" displayName="MASCHI" ref="A8:Y14" totalsRowShown="0" headerRowDxfId="138" dataDxfId="136" headerRowBorderDxfId="137" tableBorderDxfId="135" totalsRowBorderDxfId="134">
  <autoFilter ref="A8:Y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133">
      <calculatedColumnFormula>IF(A8="Elenco",1,IF(B9="","",A8+1))</calculatedColumnFormula>
    </tableColumn>
    <tableColumn id="3" name="Nome Giocatore" dataDxfId="132"/>
    <tableColumn id="4" name="Anno di nascita" dataDxfId="131"/>
    <tableColumn id="5" name="Qualifica" dataDxfId="130"/>
    <tableColumn id="6" name="N° Gare" dataDxfId="129">
      <calculatedColumnFormula>IF(COUNTA(G9:S9)+COUNTA(V9:V9)=0,"",COUNTA(G9:S9)+COUNTA(V9:V9))</calculatedColumnFormula>
    </tableColumn>
    <tableColumn id="7" name="Circolo" dataDxfId="128"/>
    <tableColumn id="8" name="24-mar" dataDxfId="127"/>
    <tableColumn id="9" name="14-apr" dataDxfId="126"/>
    <tableColumn id="10" name="12-mag" dataDxfId="125"/>
    <tableColumn id="11" name="12-giu" dataDxfId="124"/>
    <tableColumn id="12" name="16-giu" dataDxfId="123"/>
    <tableColumn id="13" name="25-giu" dataDxfId="122"/>
    <tableColumn id="14" name="data7" dataDxfId="121"/>
    <tableColumn id="15" name="data8" dataDxfId="120"/>
    <tableColumn id="16" name="data9" dataDxfId="119"/>
    <tableColumn id="17" name="data10" dataDxfId="118"/>
    <tableColumn id="18" name="data11" dataDxfId="117"/>
    <tableColumn id="19" name="data12" dataDxfId="116"/>
    <tableColumn id="20" name="data13" dataDxfId="115"/>
    <tableColumn id="21" name="TOTALE" dataDxfId="114">
      <calculatedColumnFormula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calculatedColumnFormula>
    </tableColumn>
    <tableColumn id="22" name="Colonna16" dataDxfId="113">
      <calculatedColumnFormula>AVERAGE(MASCHI[[#This Row],[24-mar]:[data13]])</calculatedColumnFormula>
    </tableColumn>
    <tableColumn id="23" name=" DATA    " dataDxfId="112"/>
    <tableColumn id="24" name="Colonna18" dataDxfId="111"/>
    <tableColumn id="25" name="Colonna1" dataDxfId="110">
      <calculatedColumnFormula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calculatedColumnFormula>
    </tableColumn>
    <tableColumn id="26" name="Colonna20" dataDxfId="109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MASCHI4" displayName="MASCHI4" ref="A8:Y14" totalsRowShown="0" headerRowDxfId="104" dataDxfId="102" headerRowBorderDxfId="103" tableBorderDxfId="101" totalsRowBorderDxfId="100">
  <sortState ref="A9:Y14">
    <sortCondition descending="1" ref="T9"/>
  </sortState>
  <tableColumns count="25">
    <tableColumn id="2" name="Elenco" dataDxfId="99">
      <calculatedColumnFormula>IF(A8="Elenco",1,IF(B9="","",A8+1))</calculatedColumnFormula>
    </tableColumn>
    <tableColumn id="3" name="Nome Giocatore" dataDxfId="98"/>
    <tableColumn id="4" name="Anno di nascita" dataDxfId="97"/>
    <tableColumn id="5" name="Qualifica" dataDxfId="96"/>
    <tableColumn id="6" name="N° Gare" dataDxfId="95">
      <calculatedColumnFormula>IF(COUNTA(G9:S9)+COUNTA(V9:V9)=0,"",COUNTA(G9:S9)+COUNTA(V9:V9))</calculatedColumnFormula>
    </tableColumn>
    <tableColumn id="7" name="Circolo" dataDxfId="94"/>
    <tableColumn id="8" name="24-mar" dataDxfId="93"/>
    <tableColumn id="9" name="14-apr" dataDxfId="92"/>
    <tableColumn id="10" name="12-mag" dataDxfId="91"/>
    <tableColumn id="11" name="12-giu" dataDxfId="90"/>
    <tableColumn id="12" name="16-giu" dataDxfId="89"/>
    <tableColumn id="13" name="25-giu" dataDxfId="88"/>
    <tableColumn id="14" name="data7" dataDxfId="87"/>
    <tableColumn id="15" name="data8" dataDxfId="86"/>
    <tableColumn id="16" name="data9" dataDxfId="85"/>
    <tableColumn id="17" name="data10" dataDxfId="84"/>
    <tableColumn id="18" name="data11" dataDxfId="83"/>
    <tableColumn id="19" name="data12" dataDxfId="82"/>
    <tableColumn id="20" name="data13" dataDxfId="81"/>
    <tableColumn id="21" name="TOTALE" dataDxfId="80">
      <calculatedColumnFormula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calculatedColumnFormula>
    </tableColumn>
    <tableColumn id="22" name="Colonna16" dataDxfId="79">
      <calculatedColumnFormula>AVERAGE(MASCHI4[[#This Row],[24-mar]:[data13]])</calculatedColumnFormula>
    </tableColumn>
    <tableColumn id="23" name=" DATA    " dataDxfId="78"/>
    <tableColumn id="24" name="Colonna18" dataDxfId="77"/>
    <tableColumn id="25" name="Colonna1" dataDxfId="76">
      <calculatedColumnFormula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calculatedColumnFormula>
    </tableColumn>
    <tableColumn id="26" name="Colonna20" dataDxfId="75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FEMMINE" displayName="FEMMINE" ref="A8:Y13" totalsRowShown="0" headerRowDxfId="71" dataDxfId="69" headerRowBorderDxfId="70" tableBorderDxfId="68" totalsRowBorderDxfId="67">
  <sortState ref="A9:Y13">
    <sortCondition descending="1" ref="T9"/>
  </sortState>
  <tableColumns count="25">
    <tableColumn id="2" name="Elenco" dataDxfId="66">
      <calculatedColumnFormula>IF(A8="Elenco",1,IF(B9="","",A8+1))</calculatedColumnFormula>
    </tableColumn>
    <tableColumn id="3" name="Nome Giocatore" dataDxfId="65"/>
    <tableColumn id="4" name="Anno di nascita" dataDxfId="64"/>
    <tableColumn id="5" name="Qualifica" dataDxfId="63"/>
    <tableColumn id="6" name="N° Gare" dataDxfId="62">
      <calculatedColumnFormula>IF(COUNTA(G9:S9)+COUNTA(V9:V9)=0,"",COUNTA(G9:S9)+COUNTA(V9:V9))</calculatedColumnFormula>
    </tableColumn>
    <tableColumn id="7" name="Circolo" dataDxfId="61"/>
    <tableColumn id="8" name="24-mar" dataDxfId="60"/>
    <tableColumn id="9" name="14-apr" dataDxfId="59"/>
    <tableColumn id="10" name="12-mag" dataDxfId="58"/>
    <tableColumn id="11" name="12-giu" dataDxfId="57"/>
    <tableColumn id="12" name="16-giu" dataDxfId="56"/>
    <tableColumn id="13" name="25-giu" dataDxfId="55"/>
    <tableColumn id="14" name="data7" dataDxfId="54"/>
    <tableColumn id="15" name="data8" dataDxfId="53"/>
    <tableColumn id="16" name="data9" dataDxfId="52"/>
    <tableColumn id="17" name="data10" dataDxfId="51"/>
    <tableColumn id="18" name="data11" dataDxfId="50"/>
    <tableColumn id="19" name="data12" dataDxfId="49"/>
    <tableColumn id="20" name="data13" dataDxfId="48"/>
    <tableColumn id="21" name="TOTALE" dataDxfId="47">
      <calculatedColumnFormula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calculatedColumnFormula>
    </tableColumn>
    <tableColumn id="22" name="Colonna16" dataDxfId="46">
      <calculatedColumnFormula>AVERAGE(FEMMINE[[#This Row],[24-mar]:[data13]])</calculatedColumnFormula>
    </tableColumn>
    <tableColumn id="23" name=" DATA    " dataDxfId="45"/>
    <tableColumn id="24" name="Colonna18" dataDxfId="44"/>
    <tableColumn id="25" name="Colonna1" dataDxfId="43">
      <calculatedColumnFormula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calculatedColumnFormula>
    </tableColumn>
    <tableColumn id="26" name="Colonna20" dataDxfId="42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4" name="Tabella4" displayName="Tabella4" ref="F2:G44" totalsRowShown="0" headerRowDxfId="41" dataDxfId="39" headerRowBorderDxfId="40" tableBorderDxfId="38">
  <autoFilter ref="F2:G44"/>
  <tableColumns count="2">
    <tableColumn id="1" name="1" dataDxfId="37"/>
    <tableColumn id="2" name="100" dataDxfId="3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FEMMINE7" displayName="FEMMINE7" ref="A8:Y9" totalsRowShown="0" headerRowDxfId="34" dataDxfId="32" headerRowBorderDxfId="33" tableBorderDxfId="31" totalsRowBorderDxfId="30">
  <autoFilter ref="A8:Y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29">
      <calculatedColumnFormula>IF(A8="Elenco",1,IF(B9="","",A8+1))</calculatedColumnFormula>
    </tableColumn>
    <tableColumn id="3" name="Nome Giocatore" dataDxfId="28"/>
    <tableColumn id="4" name="Anno di nascita" dataDxfId="27"/>
    <tableColumn id="5" name="Qualifica" dataDxfId="26"/>
    <tableColumn id="6" name="N° Gare" dataDxfId="25"/>
    <tableColumn id="7" name="Circolo" dataDxfId="24"/>
    <tableColumn id="8" name="24-mar" dataDxfId="23"/>
    <tableColumn id="9" name="14-apr" dataDxfId="22"/>
    <tableColumn id="10" name="12-mag" dataDxfId="21"/>
    <tableColumn id="11" name="12-giu" dataDxfId="20"/>
    <tableColumn id="12" name="16-giu" dataDxfId="19"/>
    <tableColumn id="13" name="25-giu" dataDxfId="18"/>
    <tableColumn id="14" name="data7" dataDxfId="17"/>
    <tableColumn id="15" name="data8" dataDxfId="16"/>
    <tableColumn id="16" name="data9" dataDxfId="15"/>
    <tableColumn id="17" name="data10" dataDxfId="14"/>
    <tableColumn id="18" name="data11" dataDxfId="13"/>
    <tableColumn id="19" name="data12" dataDxfId="12"/>
    <tableColumn id="20" name="data13" dataDxfId="11"/>
    <tableColumn id="21" name="TOTALE" dataDxfId="10">
      <calculatedColumnFormula>IF(IF(FEMMINE7[[#This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Row],[data7]]&lt;&gt;0,LOOKUP(FEMMINE7[[#This Row],[data7]],Tabella4[1],Tabella4[100]),0)+IF(FEMMINE7[[#This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Row],[data13]],Tabella4[1],Tabella4[100]),0)=0,"",IF(FEMMINE7[[#This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Row],[data7]]&lt;&gt;0,LOOKUP(FEMMINE7[[#This Row],[data7]],Tabella4[1],Tabella4[100]),0)+IF(FEMMINE7[[#This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Row],[data13]],Tabella4[1],Tabella4[100]),0))</calculatedColumnFormula>
    </tableColumn>
    <tableColumn id="22" name="Colonna16" dataDxfId="9">
      <calculatedColumnFormula>AVERAGE(FEMMINE7[[#This Row],[24-mar]:[data13]])</calculatedColumnFormula>
    </tableColumn>
    <tableColumn id="23" name=" DATA    " dataDxfId="8"/>
    <tableColumn id="24" name="Colonna18" dataDxfId="7"/>
    <tableColumn id="25" name="Colonna1" dataDxfId="6">
      <calculatedColumnFormula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calculatedColumnFormula>
    </tableColumn>
    <tableColumn id="26" name="Colonna20" dataDxfId="5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2" name="Tabella2" displayName="Tabella2" ref="M5:N46" totalsRowShown="0" headerRowDxfId="3" dataDxfId="2">
  <autoFilter ref="M5:N46"/>
  <tableColumns count="2">
    <tableColumn id="1" name="Posizione in classifica" dataDxfId="1"/>
    <tableColumn id="2" name="Punti attribuit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7"/>
  <sheetViews>
    <sheetView tabSelected="1" zoomScale="70" zoomScaleNormal="70" zoomScaleSheetLayoutView="40" workbookViewId="0">
      <selection activeCell="E19" sqref="E19"/>
    </sheetView>
  </sheetViews>
  <sheetFormatPr defaultRowHeight="25.5" customHeight="1" x14ac:dyDescent="0.25"/>
  <cols>
    <col min="1" max="1" width="10.42578125" style="17" customWidth="1"/>
    <col min="2" max="2" width="36.42578125" style="179" bestFit="1" customWidth="1"/>
    <col min="3" max="3" width="18.85546875" style="179" bestFit="1" customWidth="1"/>
    <col min="4" max="4" width="11.28515625" style="179" bestFit="1" customWidth="1"/>
    <col min="5" max="5" width="10.140625" style="179" bestFit="1" customWidth="1"/>
    <col min="6" max="6" width="30.42578125" style="179" customWidth="1"/>
    <col min="7" max="7" width="17.5703125" style="17" customWidth="1"/>
    <col min="8" max="8" width="15.7109375" style="17" customWidth="1"/>
    <col min="9" max="9" width="13.7109375" style="17" customWidth="1"/>
    <col min="10" max="10" width="11.28515625" style="17" customWidth="1"/>
    <col min="11" max="11" width="13.5703125" style="17" customWidth="1"/>
    <col min="12" max="12" width="13" style="17" customWidth="1"/>
    <col min="13" max="13" width="10.5703125" style="17" customWidth="1"/>
    <col min="14" max="15" width="11.140625" style="17" customWidth="1"/>
    <col min="16" max="17" width="12" style="17" customWidth="1"/>
    <col min="18" max="18" width="11.7109375" style="17" customWidth="1"/>
    <col min="19" max="19" width="11" style="17" customWidth="1"/>
    <col min="20" max="20" width="15" style="17" customWidth="1"/>
    <col min="21" max="21" width="4" style="17" customWidth="1"/>
    <col min="22" max="22" width="16.7109375" style="17" customWidth="1"/>
    <col min="23" max="23" width="4" style="17" customWidth="1"/>
    <col min="24" max="24" width="16.7109375" style="17" customWidth="1"/>
    <col min="25" max="25" width="15" style="17" customWidth="1"/>
    <col min="26" max="26" width="9.140625" style="17"/>
    <col min="27" max="66" width="9.140625" style="95"/>
    <col min="67" max="16384" width="9.140625" style="17"/>
  </cols>
  <sheetData>
    <row r="1" spans="1:66" ht="72.95" customHeight="1" thickBot="1" x14ac:dyDescent="0.3">
      <c r="A1" s="239" t="s">
        <v>126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1"/>
    </row>
    <row r="2" spans="1:66" ht="11.25" customHeight="1" x14ac:dyDescent="0.25">
      <c r="A2" s="145"/>
      <c r="B2" s="146"/>
      <c r="C2" s="146"/>
      <c r="D2" s="146"/>
      <c r="E2" s="146"/>
      <c r="F2" s="176"/>
      <c r="G2" s="148">
        <f>IF(COUNTA(MASCHI[24-mar])=0,0,COUNTA(MASCHI[24-mar]))</f>
        <v>3</v>
      </c>
      <c r="H2" s="148">
        <f>IF(COUNTA(MASCHI[14-apr])=0,0,COUNTA(MASCHI[14-apr]))</f>
        <v>3</v>
      </c>
      <c r="I2" s="148">
        <f>IF(COUNTA(MASCHI[12-mag])=0,0,COUNTA(MASCHI[12-mag]))</f>
        <v>4</v>
      </c>
      <c r="J2" s="148">
        <f>IF(COUNTA(MASCHI[12-giu])=0,0,COUNTA(MASCHI[12-giu]))</f>
        <v>4</v>
      </c>
      <c r="K2" s="148">
        <f>IF(COUNTA(MASCHI[16-giu])=0,0,COUNTA(MASCHI[16-giu]))</f>
        <v>3</v>
      </c>
      <c r="L2" s="148">
        <f>IF(COUNTA(MASCHI[25-giu])=0,0,COUNTA(MASCHI[25-giu]))</f>
        <v>4</v>
      </c>
      <c r="M2" s="148">
        <f>IF(COUNTA(MASCHI[data7])=0,0,COUNTA(MASCHI[data7]))</f>
        <v>0</v>
      </c>
      <c r="N2" s="148">
        <f>IF(COUNTA(MASCHI[data8])=0,0,COUNTA(MASCHI[data8]))</f>
        <v>0</v>
      </c>
      <c r="O2" s="148">
        <f>IF(COUNTA(MASCHI[data9])=0,0,COUNTA(MASCHI[data9]))</f>
        <v>0</v>
      </c>
      <c r="P2" s="148">
        <f>IF(COUNTA(MASCHI[data10])=0,0,COUNTA(MASCHI[data10]))</f>
        <v>0</v>
      </c>
      <c r="Q2" s="148">
        <f>IF(COUNTA(MASCHI[data11])=0,0,COUNTA(MASCHI[data11]))</f>
        <v>0</v>
      </c>
      <c r="R2" s="148">
        <f>IF(COUNTA(MASCHI[data12])=0,0,COUNTA(MASCHI[data12]))</f>
        <v>0</v>
      </c>
      <c r="S2" s="148">
        <f>IF(COUNTA(MASCHI[data13])=0,0,COUNTA(MASCHI[data13]))</f>
        <v>0</v>
      </c>
      <c r="T2" s="148"/>
      <c r="U2" s="148"/>
      <c r="V2" s="148">
        <f>IF(COUNTA(MASCHI[data13])=0,0,COUNTA(MASCHI[data13]))</f>
        <v>0</v>
      </c>
      <c r="W2" s="147"/>
      <c r="X2" s="147"/>
      <c r="Y2" s="147"/>
    </row>
    <row r="3" spans="1:66" ht="11.2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 t="shared" ref="H3:S3" si="0">IF(H2=0,0,1)</f>
        <v>1</v>
      </c>
      <c r="I3" s="148">
        <f t="shared" si="0"/>
        <v>1</v>
      </c>
      <c r="J3" s="148">
        <f t="shared" si="0"/>
        <v>1</v>
      </c>
      <c r="K3" s="148">
        <f t="shared" si="0"/>
        <v>1</v>
      </c>
      <c r="L3" s="148">
        <f t="shared" si="0"/>
        <v>1</v>
      </c>
      <c r="M3" s="148">
        <f t="shared" si="0"/>
        <v>0</v>
      </c>
      <c r="N3" s="148">
        <f t="shared" si="0"/>
        <v>0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6</v>
      </c>
      <c r="U3" s="148"/>
      <c r="V3" s="148">
        <f t="shared" ref="V3" si="1">IF(V2=0,0,1)</f>
        <v>0</v>
      </c>
      <c r="W3" s="147"/>
      <c r="X3" s="147"/>
      <c r="Y3" s="147"/>
    </row>
    <row r="4" spans="1:66" ht="25.5" customHeight="1" x14ac:dyDescent="0.25">
      <c r="A4" s="242" t="s">
        <v>96</v>
      </c>
      <c r="B4" s="243"/>
      <c r="C4" s="243"/>
      <c r="D4" s="243"/>
      <c r="E4" s="244"/>
      <c r="F4" s="150"/>
      <c r="G4" s="254" t="s">
        <v>127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6"/>
    </row>
    <row r="5" spans="1:66" ht="25.5" customHeight="1" x14ac:dyDescent="0.25">
      <c r="A5" s="245"/>
      <c r="B5" s="246"/>
      <c r="C5" s="246"/>
      <c r="D5" s="246"/>
      <c r="E5" s="247"/>
      <c r="F5" s="151"/>
      <c r="G5" s="257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9"/>
    </row>
    <row r="6" spans="1:66" ht="25.5" customHeight="1" x14ac:dyDescent="0.25">
      <c r="A6" s="145"/>
      <c r="B6" s="177"/>
      <c r="C6" s="177"/>
      <c r="D6" s="177"/>
      <c r="E6" s="177"/>
      <c r="F6" s="177"/>
      <c r="G6" s="133" t="s">
        <v>0</v>
      </c>
      <c r="H6" s="133" t="s">
        <v>1</v>
      </c>
      <c r="I6" s="133" t="s">
        <v>2</v>
      </c>
      <c r="J6" s="133" t="s">
        <v>3</v>
      </c>
      <c r="K6" s="133" t="s">
        <v>4</v>
      </c>
      <c r="L6" s="133" t="s">
        <v>5</v>
      </c>
      <c r="M6" s="133" t="s">
        <v>10</v>
      </c>
      <c r="N6" s="133" t="s">
        <v>11</v>
      </c>
      <c r="O6" s="133" t="s">
        <v>12</v>
      </c>
      <c r="P6" s="133" t="s">
        <v>13</v>
      </c>
      <c r="Q6" s="133" t="s">
        <v>14</v>
      </c>
      <c r="R6" s="133" t="s">
        <v>21</v>
      </c>
      <c r="S6" s="134" t="s">
        <v>25</v>
      </c>
      <c r="T6" s="248"/>
      <c r="U6" s="18"/>
      <c r="V6" s="252" t="s">
        <v>79</v>
      </c>
      <c r="W6" s="18"/>
      <c r="X6" s="250" t="s">
        <v>40</v>
      </c>
      <c r="Y6" s="251" t="s">
        <v>16</v>
      </c>
    </row>
    <row r="7" spans="1:66" ht="25.5" customHeight="1" x14ac:dyDescent="0.25">
      <c r="A7" s="145"/>
      <c r="B7" s="177"/>
      <c r="C7" s="177"/>
      <c r="D7" s="177"/>
      <c r="E7" s="177"/>
      <c r="F7" s="177"/>
      <c r="G7" s="135" t="s">
        <v>110</v>
      </c>
      <c r="H7" s="135" t="s">
        <v>113</v>
      </c>
      <c r="I7" s="135" t="s">
        <v>132</v>
      </c>
      <c r="J7" s="135" t="s">
        <v>131</v>
      </c>
      <c r="K7" s="205" t="s">
        <v>128</v>
      </c>
      <c r="L7" s="135" t="s">
        <v>129</v>
      </c>
      <c r="M7" s="135" t="s">
        <v>7</v>
      </c>
      <c r="N7" s="135" t="s">
        <v>7</v>
      </c>
      <c r="O7" s="135" t="s">
        <v>7</v>
      </c>
      <c r="P7" s="135" t="s">
        <v>7</v>
      </c>
      <c r="Q7" s="135" t="s">
        <v>7</v>
      </c>
      <c r="R7" s="135" t="s">
        <v>7</v>
      </c>
      <c r="S7" s="136" t="s">
        <v>7</v>
      </c>
      <c r="T7" s="249"/>
      <c r="U7" s="19"/>
      <c r="V7" s="253"/>
      <c r="W7" s="19"/>
      <c r="X7" s="250"/>
      <c r="Y7" s="251"/>
      <c r="Z7" s="20"/>
      <c r="AA7" s="100"/>
      <c r="AB7" s="100"/>
      <c r="AC7" s="100"/>
      <c r="AD7" s="100"/>
      <c r="AE7" s="100"/>
    </row>
    <row r="8" spans="1:66" s="23" customFormat="1" ht="25.5" customHeight="1" x14ac:dyDescent="0.25">
      <c r="A8" s="142" t="s">
        <v>37</v>
      </c>
      <c r="B8" s="143" t="s">
        <v>19</v>
      </c>
      <c r="C8" s="144" t="s">
        <v>20</v>
      </c>
      <c r="D8" s="144" t="s">
        <v>97</v>
      </c>
      <c r="E8" s="143" t="s">
        <v>98</v>
      </c>
      <c r="F8" s="144" t="s">
        <v>7</v>
      </c>
      <c r="G8" s="137" t="s">
        <v>111</v>
      </c>
      <c r="H8" s="137" t="s">
        <v>121</v>
      </c>
      <c r="I8" s="137" t="s">
        <v>134</v>
      </c>
      <c r="J8" s="137" t="s">
        <v>135</v>
      </c>
      <c r="K8" s="137" t="s">
        <v>137</v>
      </c>
      <c r="L8" s="137" t="s">
        <v>140</v>
      </c>
      <c r="M8" s="137" t="s">
        <v>27</v>
      </c>
      <c r="N8" s="137" t="s">
        <v>28</v>
      </c>
      <c r="O8" s="137" t="s">
        <v>29</v>
      </c>
      <c r="P8" s="137" t="s">
        <v>30</v>
      </c>
      <c r="Q8" s="137" t="s">
        <v>31</v>
      </c>
      <c r="R8" s="137" t="s">
        <v>32</v>
      </c>
      <c r="S8" s="138" t="s">
        <v>33</v>
      </c>
      <c r="T8" s="13" t="s">
        <v>38</v>
      </c>
      <c r="U8" s="21" t="s">
        <v>34</v>
      </c>
      <c r="V8" s="126" t="s">
        <v>39</v>
      </c>
      <c r="W8" s="22" t="s">
        <v>35</v>
      </c>
      <c r="X8" s="14" t="s">
        <v>26</v>
      </c>
      <c r="Y8" s="16" t="s">
        <v>36</v>
      </c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</row>
    <row r="9" spans="1:66" ht="25.5" customHeight="1" x14ac:dyDescent="0.25">
      <c r="A9" s="141">
        <f t="shared" ref="A9" si="2">IF(A8="Elenco",1,IF(B9="","",A8+1))</f>
        <v>1</v>
      </c>
      <c r="B9" s="10" t="s">
        <v>104</v>
      </c>
      <c r="C9" s="139">
        <v>2010</v>
      </c>
      <c r="D9" s="139" t="s">
        <v>15</v>
      </c>
      <c r="E9" s="94">
        <f t="shared" ref="E9" si="3">IF(COUNTA(G9:S9)+COUNTA(V9:V9)=0,"",COUNTA(G9:S9)+COUNTA(V9:V9))</f>
        <v>6</v>
      </c>
      <c r="F9" s="178" t="s">
        <v>128</v>
      </c>
      <c r="G9" s="30">
        <v>2</v>
      </c>
      <c r="H9" s="139">
        <v>1</v>
      </c>
      <c r="I9" s="139">
        <v>1</v>
      </c>
      <c r="J9" s="139">
        <v>1</v>
      </c>
      <c r="K9" s="139">
        <v>3</v>
      </c>
      <c r="L9" s="139">
        <v>1</v>
      </c>
      <c r="M9" s="139"/>
      <c r="N9" s="139"/>
      <c r="O9" s="139"/>
      <c r="P9" s="139"/>
      <c r="Q9" s="139"/>
      <c r="R9" s="139"/>
      <c r="S9" s="139"/>
      <c r="T9" s="3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542</v>
      </c>
      <c r="U9" s="73">
        <f>AVERAGE(MASCHI[[#This Row],[24-mar]:[data13]])</f>
        <v>1.5</v>
      </c>
      <c r="V9" s="31"/>
      <c r="W9" s="11"/>
      <c r="X9" s="34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542</v>
      </c>
      <c r="Y9" s="15">
        <f t="shared" ref="Y9" si="4">IFERROR(IF(E9=0,"",X9/E9),"")</f>
        <v>90.333333333333329</v>
      </c>
      <c r="Z9" s="3"/>
    </row>
    <row r="10" spans="1:66" ht="25.5" customHeight="1" x14ac:dyDescent="0.25">
      <c r="A10" s="141">
        <f t="shared" ref="A10" si="5">IF(A9="Elenco",1,IF(B10="","",A9+1))</f>
        <v>2</v>
      </c>
      <c r="B10" s="10" t="s">
        <v>105</v>
      </c>
      <c r="C10" s="139">
        <v>2011</v>
      </c>
      <c r="D10" s="139" t="s">
        <v>15</v>
      </c>
      <c r="E10" s="94">
        <f t="shared" ref="E10" si="6">IF(COUNTA(G10:S10)+COUNTA(V10:V10)=0,"",COUNTA(G10:S10)+COUNTA(V10:V10))</f>
        <v>6</v>
      </c>
      <c r="F10" s="178" t="s">
        <v>128</v>
      </c>
      <c r="G10" s="30">
        <v>3</v>
      </c>
      <c r="H10" s="139">
        <v>3</v>
      </c>
      <c r="I10" s="139">
        <v>3</v>
      </c>
      <c r="J10" s="139">
        <v>3</v>
      </c>
      <c r="K10" s="139">
        <v>1</v>
      </c>
      <c r="L10" s="139">
        <v>4</v>
      </c>
      <c r="M10" s="139"/>
      <c r="N10" s="139"/>
      <c r="O10" s="139"/>
      <c r="P10" s="139"/>
      <c r="Q10" s="139"/>
      <c r="R10" s="139"/>
      <c r="S10" s="139"/>
      <c r="T10" s="3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473</v>
      </c>
      <c r="U10" s="73">
        <f>AVERAGE(MASCHI[[#This Row],[24-mar]:[data13]])</f>
        <v>2.8333333333333335</v>
      </c>
      <c r="V10" s="31"/>
      <c r="W10" s="11"/>
      <c r="X10" s="34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473</v>
      </c>
      <c r="Y10" s="15">
        <f t="shared" ref="Y10" si="7">IFERROR(IF(E10=0,"",X10/E10),"")</f>
        <v>78.833333333333329</v>
      </c>
      <c r="Z10" s="3"/>
    </row>
    <row r="11" spans="1:66" ht="25.5" customHeight="1" x14ac:dyDescent="0.25">
      <c r="A11" s="175">
        <f>IF(A10="Elenco",1,IF(B11="","",A10+1))</f>
        <v>3</v>
      </c>
      <c r="B11" s="12" t="s">
        <v>109</v>
      </c>
      <c r="C11" s="163">
        <v>2010</v>
      </c>
      <c r="D11" s="139" t="s">
        <v>9</v>
      </c>
      <c r="E11" s="94">
        <f t="shared" ref="E11" si="8">IF(COUNTA(G11:S11)+COUNTA(V11:V11)=0,"",COUNTA(G11:S11)+COUNTA(V11:V11))</f>
        <v>5</v>
      </c>
      <c r="F11" s="178" t="s">
        <v>129</v>
      </c>
      <c r="G11" s="38">
        <v>6</v>
      </c>
      <c r="H11" s="139"/>
      <c r="I11" s="139">
        <v>2</v>
      </c>
      <c r="J11" s="139">
        <v>2</v>
      </c>
      <c r="K11" s="139">
        <v>1</v>
      </c>
      <c r="L11" s="139">
        <v>3</v>
      </c>
      <c r="M11" s="139"/>
      <c r="N11" s="139"/>
      <c r="O11" s="139"/>
      <c r="P11" s="139"/>
      <c r="Q11" s="139"/>
      <c r="R11" s="139"/>
      <c r="S11" s="139"/>
      <c r="T11" s="3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401</v>
      </c>
      <c r="U11" s="73">
        <f>AVERAGE(MASCHI[[#This Row],[24-mar]:[data13]])</f>
        <v>2.8</v>
      </c>
      <c r="V11" s="31"/>
      <c r="W11" s="11"/>
      <c r="X11" s="34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401</v>
      </c>
      <c r="Y11" s="15">
        <f t="shared" ref="Y11" si="9">IFERROR(IF(E11=0,"",X11/E11),"")</f>
        <v>80.2</v>
      </c>
      <c r="Z11" s="3"/>
    </row>
    <row r="12" spans="1:66" ht="25.5" customHeight="1" x14ac:dyDescent="0.25">
      <c r="A12" s="141">
        <f>IF(A11="Elenco",1,IF(B12="","",A11+1))</f>
        <v>4</v>
      </c>
      <c r="B12" s="189" t="s">
        <v>125</v>
      </c>
      <c r="C12" s="163">
        <v>2010</v>
      </c>
      <c r="D12" s="190"/>
      <c r="E12" s="199">
        <f>IF(COUNTA(G12:S12)+COUNTA(V12:V12)=0,"",COUNTA(G12:S12)+COUNTA(V12:V12))</f>
        <v>2</v>
      </c>
      <c r="F12" s="192" t="s">
        <v>130</v>
      </c>
      <c r="G12" s="191"/>
      <c r="H12" s="163">
        <v>4</v>
      </c>
      <c r="I12" s="163">
        <v>4</v>
      </c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93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140</v>
      </c>
      <c r="U12" s="194">
        <f>AVERAGE(MASCHI[[#This Row],[24-mar]:[data13]])</f>
        <v>4</v>
      </c>
      <c r="V12" s="195"/>
      <c r="W12" s="196"/>
      <c r="X12" s="197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140</v>
      </c>
      <c r="Y12" s="198">
        <f>IFERROR(IF(E12=0,"",X12/E12),"")</f>
        <v>70</v>
      </c>
      <c r="Z12" s="3"/>
    </row>
    <row r="13" spans="1:66" ht="25.5" customHeight="1" x14ac:dyDescent="0.25">
      <c r="A13" s="201">
        <f>IF(A12="Elenco",1,IF(B13="","",A12+1))</f>
        <v>5</v>
      </c>
      <c r="B13" s="189" t="s">
        <v>139</v>
      </c>
      <c r="C13" s="190">
        <v>2011</v>
      </c>
      <c r="D13" s="190"/>
      <c r="E13" s="202">
        <f>IF(COUNTA(G13:S13)+COUNTA(V13:V13)=0,"",COUNTA(G13:S13)+COUNTA(V13:V13))</f>
        <v>1</v>
      </c>
      <c r="F13" s="192" t="s">
        <v>131</v>
      </c>
      <c r="G13" s="203"/>
      <c r="H13" s="204"/>
      <c r="I13" s="204"/>
      <c r="J13" s="163">
        <v>5</v>
      </c>
      <c r="K13" s="163"/>
      <c r="L13" s="163"/>
      <c r="M13" s="163"/>
      <c r="N13" s="163"/>
      <c r="O13" s="163"/>
      <c r="P13" s="163"/>
      <c r="Q13" s="163"/>
      <c r="R13" s="163"/>
      <c r="S13" s="163"/>
      <c r="T13" s="193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64</v>
      </c>
      <c r="U13" s="194">
        <f>AVERAGE(MASCHI[[#This Row],[24-mar]:[data13]])</f>
        <v>5</v>
      </c>
      <c r="V13" s="195"/>
      <c r="W13" s="196"/>
      <c r="X13" s="197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64</v>
      </c>
      <c r="Y13" s="198">
        <f>IFERROR(IF(E13=0,"",X13/E13),"")</f>
        <v>64</v>
      </c>
    </row>
    <row r="14" spans="1:66" ht="25.5" customHeight="1" x14ac:dyDescent="0.25">
      <c r="A14" s="226">
        <v>6</v>
      </c>
      <c r="B14" s="227" t="s">
        <v>141</v>
      </c>
      <c r="C14" s="228">
        <v>2011</v>
      </c>
      <c r="D14" s="228"/>
      <c r="E14" s="229">
        <f>IF(COUNTA(G14:S14)+COUNTA(V14:V14)=0,"",COUNTA(G14:S14)+COUNTA(V14:V14))</f>
        <v>1</v>
      </c>
      <c r="F14" s="230" t="s">
        <v>129</v>
      </c>
      <c r="G14" s="231"/>
      <c r="H14" s="232"/>
      <c r="I14" s="232"/>
      <c r="J14" s="206"/>
      <c r="K14" s="206"/>
      <c r="L14" s="206">
        <v>6</v>
      </c>
      <c r="M14" s="206"/>
      <c r="N14" s="206"/>
      <c r="O14" s="206"/>
      <c r="P14" s="206"/>
      <c r="Q14" s="206"/>
      <c r="R14" s="206"/>
      <c r="S14" s="206"/>
      <c r="T14" s="233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59</v>
      </c>
      <c r="U14" s="234">
        <f>AVERAGE(MASCHI[[#This Row],[24-mar]:[data13]])</f>
        <v>6</v>
      </c>
      <c r="V14" s="235"/>
      <c r="W14" s="236"/>
      <c r="X14" s="237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59</v>
      </c>
      <c r="Y14" s="238">
        <f>IFERROR(IF(E14=0,"",X14/E14),"")</f>
        <v>59</v>
      </c>
    </row>
    <row r="17" spans="1:16" ht="25.5" customHeight="1" x14ac:dyDescent="0.25">
      <c r="F17" s="180"/>
    </row>
    <row r="18" spans="1:16" ht="25.5" customHeight="1" x14ac:dyDescent="0.25">
      <c r="A18" s="24"/>
      <c r="B18" s="25"/>
      <c r="F18" s="180"/>
    </row>
    <row r="19" spans="1:16" ht="25.5" customHeight="1" x14ac:dyDescent="0.25">
      <c r="A19" s="24"/>
      <c r="B19" s="25"/>
    </row>
    <row r="20" spans="1:16" ht="25.5" customHeight="1" x14ac:dyDescent="0.25">
      <c r="A20" s="24"/>
      <c r="B20" s="25"/>
    </row>
    <row r="21" spans="1:16" ht="25.5" customHeight="1" x14ac:dyDescent="0.25">
      <c r="A21" s="24"/>
      <c r="B21" s="25"/>
      <c r="L21" s="154"/>
      <c r="M21" s="154"/>
      <c r="N21" s="154"/>
      <c r="O21" s="154"/>
      <c r="P21" s="154"/>
    </row>
    <row r="22" spans="1:16" ht="25.5" customHeight="1" x14ac:dyDescent="0.25">
      <c r="A22" s="24"/>
      <c r="B22" s="25"/>
      <c r="L22" s="154"/>
      <c r="M22" s="154"/>
      <c r="N22" s="154"/>
      <c r="O22" s="154"/>
      <c r="P22" s="154"/>
    </row>
    <row r="23" spans="1:16" ht="25.5" customHeight="1" x14ac:dyDescent="0.25">
      <c r="A23" s="24"/>
      <c r="B23" s="25"/>
    </row>
    <row r="24" spans="1:16" ht="25.5" customHeight="1" x14ac:dyDescent="0.25">
      <c r="A24" s="24"/>
      <c r="B24" s="25"/>
    </row>
    <row r="25" spans="1:16" ht="25.5" customHeight="1" x14ac:dyDescent="0.25">
      <c r="A25" s="24"/>
      <c r="B25" s="25"/>
    </row>
    <row r="26" spans="1:16" ht="25.5" customHeight="1" x14ac:dyDescent="0.25">
      <c r="A26" s="24"/>
      <c r="B26" s="25"/>
    </row>
    <row r="27" spans="1:16" ht="25.5" customHeight="1" x14ac:dyDescent="0.25">
      <c r="A27" s="24"/>
      <c r="B27" s="25"/>
      <c r="G27" s="155"/>
      <c r="H27" s="155"/>
      <c r="I27" s="155"/>
      <c r="J27" s="155"/>
      <c r="K27" s="155"/>
    </row>
    <row r="28" spans="1:16" ht="25.5" customHeight="1" x14ac:dyDescent="0.25">
      <c r="A28" s="24"/>
      <c r="B28" s="25"/>
      <c r="G28" s="155"/>
      <c r="H28" s="155"/>
      <c r="I28" s="155"/>
      <c r="J28" s="155"/>
      <c r="K28" s="155"/>
    </row>
    <row r="29" spans="1:16" ht="25.5" customHeight="1" x14ac:dyDescent="0.25">
      <c r="A29" s="24"/>
      <c r="B29" s="25"/>
    </row>
    <row r="30" spans="1:16" ht="25.5" customHeight="1" x14ac:dyDescent="0.25">
      <c r="A30" s="24"/>
      <c r="B30" s="25"/>
    </row>
    <row r="31" spans="1:16" ht="25.5" customHeight="1" x14ac:dyDescent="0.25">
      <c r="A31" s="24"/>
      <c r="B31" s="25"/>
    </row>
    <row r="32" spans="1:16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</row>
    <row r="36" spans="1:6" ht="25.5" customHeight="1" x14ac:dyDescent="0.25">
      <c r="A36" s="24"/>
      <c r="B36" s="25"/>
    </row>
    <row r="37" spans="1:6" ht="25.5" customHeight="1" x14ac:dyDescent="0.25">
      <c r="A37" s="24"/>
      <c r="B37" s="25"/>
    </row>
    <row r="38" spans="1:6" ht="25.5" customHeight="1" x14ac:dyDescent="0.25">
      <c r="A38" s="24"/>
      <c r="B38" s="25"/>
    </row>
    <row r="39" spans="1:6" ht="25.5" customHeight="1" x14ac:dyDescent="0.25">
      <c r="A39" s="24"/>
      <c r="B39" s="25"/>
    </row>
    <row r="40" spans="1:6" ht="25.5" customHeight="1" x14ac:dyDescent="0.25">
      <c r="A40" s="24"/>
      <c r="B40" s="25"/>
    </row>
    <row r="41" spans="1:6" ht="25.5" customHeight="1" x14ac:dyDescent="0.25">
      <c r="A41" s="24"/>
      <c r="B41" s="25"/>
    </row>
    <row r="42" spans="1:6" ht="25.5" customHeight="1" x14ac:dyDescent="0.25">
      <c r="A42" s="24"/>
      <c r="B42" s="25"/>
      <c r="F42" s="180"/>
    </row>
    <row r="43" spans="1:6" ht="25.5" customHeight="1" x14ac:dyDescent="0.25">
      <c r="A43" s="24"/>
      <c r="B43" s="25"/>
      <c r="F43" s="180"/>
    </row>
    <row r="44" spans="1:6" ht="25.5" customHeight="1" x14ac:dyDescent="0.25">
      <c r="A44" s="24"/>
      <c r="B44" s="25"/>
      <c r="F44" s="180"/>
    </row>
    <row r="45" spans="1:6" ht="25.5" customHeight="1" x14ac:dyDescent="0.25">
      <c r="A45" s="24"/>
      <c r="B45" s="25"/>
      <c r="F45" s="180"/>
    </row>
    <row r="46" spans="1:6" ht="25.5" customHeight="1" x14ac:dyDescent="0.25">
      <c r="A46" s="24"/>
      <c r="B46" s="25"/>
      <c r="F46" s="180"/>
    </row>
    <row r="47" spans="1:6" ht="25.5" customHeight="1" x14ac:dyDescent="0.25">
      <c r="A47" s="24"/>
      <c r="B47" s="25"/>
      <c r="F47" s="180"/>
    </row>
    <row r="48" spans="1:6" ht="25.5" customHeight="1" x14ac:dyDescent="0.25">
      <c r="A48" s="24"/>
      <c r="B48" s="25"/>
      <c r="F48" s="180"/>
    </row>
    <row r="49" spans="1:6" ht="25.5" customHeight="1" x14ac:dyDescent="0.25">
      <c r="A49" s="24"/>
      <c r="B49" s="25"/>
      <c r="F49" s="180"/>
    </row>
    <row r="50" spans="1:6" ht="25.5" customHeight="1" x14ac:dyDescent="0.25">
      <c r="A50" s="24"/>
      <c r="B50" s="25"/>
      <c r="F50" s="180"/>
    </row>
    <row r="51" spans="1:6" ht="25.5" customHeight="1" x14ac:dyDescent="0.25">
      <c r="A51" s="24"/>
      <c r="B51" s="25"/>
      <c r="F51" s="180"/>
    </row>
    <row r="52" spans="1:6" ht="25.5" customHeight="1" x14ac:dyDescent="0.25">
      <c r="A52" s="24"/>
      <c r="B52" s="25"/>
      <c r="F52" s="180"/>
    </row>
    <row r="53" spans="1:6" ht="25.5" customHeight="1" x14ac:dyDescent="0.25">
      <c r="A53" s="24"/>
      <c r="B53" s="25"/>
      <c r="F53" s="180"/>
    </row>
    <row r="54" spans="1:6" ht="25.5" customHeight="1" x14ac:dyDescent="0.25">
      <c r="A54" s="24"/>
      <c r="B54" s="25"/>
      <c r="F54" s="180"/>
    </row>
    <row r="55" spans="1:6" ht="25.5" customHeight="1" x14ac:dyDescent="0.25">
      <c r="A55" s="24"/>
      <c r="B55" s="25"/>
      <c r="F55" s="180"/>
    </row>
    <row r="56" spans="1:6" ht="25.5" customHeight="1" x14ac:dyDescent="0.25">
      <c r="A56" s="24"/>
      <c r="B56" s="25"/>
      <c r="F56" s="180"/>
    </row>
    <row r="57" spans="1:6" ht="25.5" customHeight="1" x14ac:dyDescent="0.25">
      <c r="A57" s="24"/>
      <c r="B57" s="25"/>
      <c r="F57" s="180"/>
    </row>
    <row r="58" spans="1:6" ht="25.5" customHeight="1" x14ac:dyDescent="0.25">
      <c r="A58" s="24"/>
      <c r="B58" s="25"/>
      <c r="F58" s="180"/>
    </row>
    <row r="59" spans="1:6" ht="25.5" customHeight="1" x14ac:dyDescent="0.25">
      <c r="A59" s="24"/>
      <c r="B59" s="25"/>
      <c r="F59" s="180"/>
    </row>
    <row r="60" spans="1:6" ht="25.5" customHeight="1" x14ac:dyDescent="0.25">
      <c r="A60" s="24"/>
      <c r="B60" s="25"/>
      <c r="F60" s="180"/>
    </row>
    <row r="61" spans="1:6" ht="25.5" customHeight="1" x14ac:dyDescent="0.25">
      <c r="A61" s="24"/>
      <c r="B61" s="25"/>
      <c r="F61" s="180"/>
    </row>
    <row r="62" spans="1:6" ht="25.5" customHeight="1" x14ac:dyDescent="0.25">
      <c r="A62" s="24"/>
      <c r="B62" s="25"/>
      <c r="F62" s="180"/>
    </row>
    <row r="63" spans="1:6" ht="25.5" customHeight="1" x14ac:dyDescent="0.25">
      <c r="A63" s="24"/>
      <c r="B63" s="25"/>
      <c r="F63" s="180"/>
    </row>
    <row r="64" spans="1:6" ht="25.5" customHeight="1" x14ac:dyDescent="0.25">
      <c r="A64" s="24"/>
      <c r="B64" s="25"/>
      <c r="F64" s="180"/>
    </row>
    <row r="65" spans="1:6" ht="25.5" customHeight="1" x14ac:dyDescent="0.25">
      <c r="A65" s="24"/>
      <c r="B65" s="25"/>
      <c r="F65" s="180"/>
    </row>
    <row r="66" spans="1:6" ht="25.5" customHeight="1" x14ac:dyDescent="0.25">
      <c r="A66" s="24"/>
      <c r="B66" s="25"/>
      <c r="F66" s="180"/>
    </row>
    <row r="67" spans="1:6" ht="25.5" customHeight="1" x14ac:dyDescent="0.25">
      <c r="A67" s="24"/>
      <c r="B67" s="25"/>
      <c r="F67" s="180"/>
    </row>
    <row r="68" spans="1:6" ht="25.5" customHeight="1" x14ac:dyDescent="0.25">
      <c r="A68" s="24"/>
      <c r="B68" s="25"/>
      <c r="F68" s="180"/>
    </row>
    <row r="69" spans="1:6" ht="25.5" customHeight="1" x14ac:dyDescent="0.25">
      <c r="A69" s="24"/>
      <c r="B69" s="25"/>
      <c r="F69" s="180"/>
    </row>
    <row r="70" spans="1:6" ht="25.5" customHeight="1" x14ac:dyDescent="0.25">
      <c r="A70" s="24"/>
      <c r="B70" s="25"/>
      <c r="F70" s="180"/>
    </row>
    <row r="71" spans="1:6" ht="25.5" customHeight="1" x14ac:dyDescent="0.25">
      <c r="A71" s="24"/>
      <c r="B71" s="25"/>
      <c r="F71" s="180"/>
    </row>
    <row r="72" spans="1:6" ht="25.5" customHeight="1" x14ac:dyDescent="0.25">
      <c r="A72" s="24"/>
      <c r="B72" s="25"/>
      <c r="F72" s="180"/>
    </row>
    <row r="73" spans="1:6" ht="25.5" customHeight="1" x14ac:dyDescent="0.25">
      <c r="A73" s="24"/>
      <c r="B73" s="25"/>
      <c r="F73" s="180"/>
    </row>
    <row r="74" spans="1:6" ht="25.5" customHeight="1" x14ac:dyDescent="0.25">
      <c r="A74" s="24"/>
      <c r="B74" s="25"/>
      <c r="F74" s="180"/>
    </row>
    <row r="75" spans="1:6" ht="25.5" customHeight="1" x14ac:dyDescent="0.25">
      <c r="A75" s="24"/>
      <c r="B75" s="25"/>
      <c r="F75" s="180"/>
    </row>
    <row r="76" spans="1:6" ht="25.5" customHeight="1" x14ac:dyDescent="0.25">
      <c r="A76" s="24"/>
      <c r="B76" s="25"/>
      <c r="F76" s="180"/>
    </row>
    <row r="77" spans="1:6" ht="25.5" customHeight="1" x14ac:dyDescent="0.25">
      <c r="A77" s="24"/>
      <c r="B77" s="25"/>
      <c r="F77" s="180"/>
    </row>
    <row r="78" spans="1:6" ht="25.5" customHeight="1" x14ac:dyDescent="0.25">
      <c r="A78" s="24"/>
      <c r="B78" s="25"/>
      <c r="F78" s="180"/>
    </row>
    <row r="79" spans="1:6" ht="25.5" customHeight="1" x14ac:dyDescent="0.25">
      <c r="A79" s="24"/>
      <c r="B79" s="25"/>
      <c r="F79" s="180"/>
    </row>
    <row r="80" spans="1:6" ht="25.5" customHeight="1" x14ac:dyDescent="0.25">
      <c r="A80" s="24"/>
      <c r="B80" s="25"/>
      <c r="F80" s="180"/>
    </row>
    <row r="81" spans="1:22" ht="25.5" customHeight="1" x14ac:dyDescent="0.25">
      <c r="A81" s="24"/>
      <c r="B81" s="25"/>
      <c r="F81" s="180"/>
    </row>
    <row r="82" spans="1:22" ht="25.5" customHeight="1" x14ac:dyDescent="0.25">
      <c r="A82" s="24"/>
      <c r="B82" s="25"/>
      <c r="F82" s="180"/>
    </row>
    <row r="83" spans="1:22" ht="25.5" customHeight="1" x14ac:dyDescent="0.25">
      <c r="A83" s="24"/>
      <c r="B83" s="25"/>
      <c r="F83" s="180"/>
    </row>
    <row r="84" spans="1:22" ht="25.5" customHeight="1" x14ac:dyDescent="0.25">
      <c r="A84" s="24"/>
      <c r="B84" s="25"/>
      <c r="F84" s="180"/>
    </row>
    <row r="85" spans="1:22" ht="25.5" customHeight="1" x14ac:dyDescent="0.25">
      <c r="A85" s="24"/>
      <c r="B85" s="25"/>
      <c r="E85" s="99"/>
      <c r="F85" s="98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</row>
    <row r="86" spans="1:22" ht="25.5" customHeight="1" x14ac:dyDescent="0.25">
      <c r="A86" s="24"/>
      <c r="B86" s="25"/>
      <c r="E86" s="99"/>
      <c r="F86" s="98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</row>
    <row r="87" spans="1:22" ht="25.5" customHeight="1" x14ac:dyDescent="0.25">
      <c r="A87" s="24"/>
      <c r="E87" s="99"/>
      <c r="F87" s="181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9"/>
      <c r="U87" s="95"/>
      <c r="V87" s="95"/>
    </row>
    <row r="88" spans="1:22" ht="25.5" customHeight="1" x14ac:dyDescent="0.25">
      <c r="A88" s="24"/>
      <c r="E88" s="99"/>
      <c r="F88" s="181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5"/>
      <c r="U88" s="95"/>
      <c r="V88" s="96"/>
    </row>
    <row r="89" spans="1:22" ht="25.5" customHeight="1" x14ac:dyDescent="0.25">
      <c r="A89" s="24"/>
      <c r="E89" s="99"/>
      <c r="F89" s="181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5"/>
      <c r="U89" s="95"/>
      <c r="V89" s="96"/>
    </row>
    <row r="90" spans="1:22" ht="25.5" customHeight="1" x14ac:dyDescent="0.25">
      <c r="A90" s="24"/>
      <c r="E90" s="99"/>
      <c r="F90" s="181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9"/>
      <c r="U90" s="95"/>
      <c r="V90" s="98"/>
    </row>
    <row r="91" spans="1:22" ht="25.5" customHeight="1" x14ac:dyDescent="0.25">
      <c r="A91" s="24"/>
      <c r="E91" s="99"/>
      <c r="F91" s="99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8"/>
    </row>
    <row r="92" spans="1:22" ht="25.5" customHeight="1" x14ac:dyDescent="0.25">
      <c r="A92" s="24"/>
      <c r="E92" s="99"/>
      <c r="F92" s="99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</row>
    <row r="93" spans="1:22" ht="25.5" customHeight="1" x14ac:dyDescent="0.25">
      <c r="A93" s="24"/>
      <c r="B93" s="100"/>
      <c r="E93" s="182"/>
      <c r="F93" s="99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</row>
    <row r="94" spans="1:22" ht="25.5" customHeight="1" x14ac:dyDescent="0.25">
      <c r="A94" s="24"/>
      <c r="B94" s="102"/>
      <c r="C94" s="103"/>
      <c r="D94" s="103"/>
      <c r="E94" s="104"/>
      <c r="F94" s="183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</row>
    <row r="95" spans="1:22" ht="25.5" customHeight="1" x14ac:dyDescent="0.25">
      <c r="A95" s="24"/>
      <c r="B95" s="184"/>
      <c r="C95" s="106"/>
      <c r="D95" s="106"/>
      <c r="E95" s="107"/>
      <c r="F95" s="108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</row>
    <row r="96" spans="1:22" ht="25.5" customHeight="1" x14ac:dyDescent="0.25">
      <c r="A96" s="24"/>
      <c r="E96" s="99"/>
      <c r="F96" s="99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</row>
    <row r="97" spans="1:22" ht="25.5" customHeight="1" x14ac:dyDescent="0.25">
      <c r="A97" s="24"/>
      <c r="E97" s="99"/>
      <c r="F97" s="99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</row>
    <row r="98" spans="1:22" ht="25.5" customHeight="1" x14ac:dyDescent="0.25">
      <c r="A98" s="24"/>
      <c r="E98" s="99"/>
      <c r="F98" s="99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</row>
    <row r="99" spans="1:22" ht="25.5" customHeight="1" x14ac:dyDescent="0.25">
      <c r="A99" s="24"/>
      <c r="E99" s="99"/>
      <c r="F99" s="99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</row>
    <row r="100" spans="1:22" ht="25.5" customHeight="1" x14ac:dyDescent="0.25">
      <c r="A100" s="27"/>
      <c r="B100" s="184"/>
      <c r="E100" s="104"/>
      <c r="F100" s="18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</row>
    <row r="101" spans="1:22" ht="25.5" customHeight="1" x14ac:dyDescent="0.25">
      <c r="A101" s="27"/>
      <c r="B101" s="184"/>
      <c r="E101" s="104"/>
      <c r="F101" s="18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</row>
    <row r="102" spans="1:22" ht="25.5" customHeight="1" x14ac:dyDescent="0.25">
      <c r="A102" s="27"/>
      <c r="B102" s="184"/>
      <c r="E102" s="110"/>
      <c r="F102" s="184"/>
    </row>
    <row r="103" spans="1:22" ht="25.5" customHeight="1" x14ac:dyDescent="0.25">
      <c r="A103" s="27"/>
      <c r="B103" s="184"/>
      <c r="E103" s="110"/>
      <c r="F103" s="184"/>
    </row>
    <row r="104" spans="1:22" ht="25.5" customHeight="1" x14ac:dyDescent="0.25">
      <c r="A104" s="27"/>
      <c r="B104" s="184"/>
      <c r="E104" s="110"/>
      <c r="F104" s="184"/>
    </row>
    <row r="105" spans="1:22" ht="25.5" customHeight="1" x14ac:dyDescent="0.25">
      <c r="A105" s="27"/>
      <c r="B105" s="184"/>
      <c r="E105" s="110"/>
      <c r="F105" s="184"/>
    </row>
    <row r="106" spans="1:22" ht="25.5" customHeight="1" x14ac:dyDescent="0.25">
      <c r="A106" s="27"/>
      <c r="B106" s="184"/>
      <c r="E106" s="110"/>
      <c r="F106" s="184"/>
    </row>
    <row r="107" spans="1:22" ht="25.5" customHeight="1" x14ac:dyDescent="0.25">
      <c r="A107" s="27"/>
      <c r="B107" s="184"/>
      <c r="E107" s="110"/>
      <c r="F107" s="184"/>
    </row>
    <row r="108" spans="1:22" ht="25.5" customHeight="1" x14ac:dyDescent="0.25">
      <c r="A108" s="27"/>
      <c r="B108" s="184"/>
      <c r="E108" s="110"/>
      <c r="F108" s="184"/>
    </row>
    <row r="109" spans="1:22" ht="25.5" customHeight="1" x14ac:dyDescent="0.25">
      <c r="A109" s="27"/>
      <c r="B109" s="184"/>
      <c r="E109" s="110"/>
      <c r="F109" s="184"/>
    </row>
    <row r="110" spans="1:22" ht="25.5" customHeight="1" x14ac:dyDescent="0.25">
      <c r="A110" s="27"/>
      <c r="B110" s="184"/>
      <c r="E110" s="110"/>
      <c r="F110" s="184"/>
    </row>
    <row r="111" spans="1:22" ht="25.5" customHeight="1" x14ac:dyDescent="0.25">
      <c r="A111" s="27"/>
      <c r="B111" s="184"/>
      <c r="E111" s="110"/>
      <c r="F111" s="184"/>
    </row>
    <row r="112" spans="1:22" ht="25.5" customHeight="1" x14ac:dyDescent="0.25">
      <c r="A112" s="27"/>
      <c r="B112" s="184"/>
      <c r="E112" s="110"/>
      <c r="F112" s="184"/>
    </row>
    <row r="113" spans="1:6" ht="25.5" customHeight="1" x14ac:dyDescent="0.25">
      <c r="A113" s="27"/>
      <c r="B113" s="184"/>
      <c r="E113" s="110"/>
      <c r="F113" s="184"/>
    </row>
    <row r="114" spans="1:6" ht="25.5" customHeight="1" x14ac:dyDescent="0.25">
      <c r="A114" s="27"/>
      <c r="B114" s="184"/>
      <c r="E114" s="110"/>
      <c r="F114" s="184"/>
    </row>
    <row r="115" spans="1:6" ht="25.5" customHeight="1" x14ac:dyDescent="0.25">
      <c r="A115" s="27"/>
      <c r="B115" s="184"/>
      <c r="E115" s="110"/>
      <c r="F115" s="184"/>
    </row>
    <row r="116" spans="1:6" ht="25.5" customHeight="1" x14ac:dyDescent="0.25">
      <c r="A116" s="27"/>
      <c r="B116" s="184"/>
      <c r="E116" s="110"/>
      <c r="F116" s="184"/>
    </row>
    <row r="117" spans="1:6" ht="25.5" customHeight="1" x14ac:dyDescent="0.25">
      <c r="A117" s="27"/>
      <c r="B117" s="184"/>
      <c r="E117" s="110"/>
      <c r="F117" s="184"/>
    </row>
    <row r="118" spans="1:6" ht="25.5" customHeight="1" x14ac:dyDescent="0.25">
      <c r="A118" s="27"/>
      <c r="B118" s="184"/>
      <c r="E118" s="110"/>
      <c r="F118" s="184"/>
    </row>
    <row r="119" spans="1:6" ht="25.5" customHeight="1" x14ac:dyDescent="0.25">
      <c r="A119" s="27"/>
      <c r="B119" s="184"/>
      <c r="E119" s="110"/>
      <c r="F119" s="184"/>
    </row>
    <row r="120" spans="1:6" ht="25.5" customHeight="1" x14ac:dyDescent="0.25">
      <c r="A120" s="27"/>
      <c r="B120" s="184"/>
      <c r="E120" s="110"/>
      <c r="F120" s="184"/>
    </row>
    <row r="121" spans="1:6" ht="25.5" customHeight="1" x14ac:dyDescent="0.25">
      <c r="A121" s="27"/>
      <c r="B121" s="184"/>
      <c r="E121" s="110"/>
      <c r="F121" s="184"/>
    </row>
    <row r="122" spans="1:6" ht="25.5" customHeight="1" x14ac:dyDescent="0.25">
      <c r="A122" s="27"/>
      <c r="B122" s="184"/>
      <c r="E122" s="110"/>
      <c r="F122" s="184"/>
    </row>
    <row r="123" spans="1:6" ht="25.5" customHeight="1" x14ac:dyDescent="0.25">
      <c r="A123" s="27"/>
      <c r="B123" s="184"/>
      <c r="E123" s="110"/>
      <c r="F123" s="184"/>
    </row>
    <row r="124" spans="1:6" ht="25.5" customHeight="1" x14ac:dyDescent="0.25">
      <c r="A124" s="27"/>
      <c r="B124" s="184"/>
      <c r="E124" s="110"/>
      <c r="F124" s="184"/>
    </row>
    <row r="125" spans="1:6" ht="25.5" customHeight="1" x14ac:dyDescent="0.25">
      <c r="A125" s="27"/>
      <c r="B125" s="184"/>
      <c r="E125" s="110"/>
      <c r="F125" s="184"/>
    </row>
    <row r="126" spans="1:6" ht="25.5" customHeight="1" x14ac:dyDescent="0.25">
      <c r="A126" s="27"/>
      <c r="B126" s="184"/>
      <c r="E126" s="110"/>
      <c r="F126" s="184"/>
    </row>
    <row r="127" spans="1:6" ht="25.5" customHeight="1" x14ac:dyDescent="0.25">
      <c r="A127" s="27"/>
      <c r="B127" s="184"/>
      <c r="E127" s="110"/>
      <c r="F127" s="184"/>
    </row>
    <row r="128" spans="1:6" ht="25.5" customHeight="1" x14ac:dyDescent="0.25">
      <c r="A128" s="27"/>
      <c r="B128" s="184"/>
      <c r="E128" s="110"/>
      <c r="F128" s="184"/>
    </row>
    <row r="129" spans="1:6" ht="25.5" customHeight="1" x14ac:dyDescent="0.25">
      <c r="A129" s="27"/>
      <c r="B129" s="184"/>
      <c r="E129" s="110"/>
      <c r="F129" s="184"/>
    </row>
    <row r="130" spans="1:6" ht="25.5" customHeight="1" x14ac:dyDescent="0.25">
      <c r="A130" s="27"/>
      <c r="B130" s="184"/>
      <c r="E130" s="110"/>
      <c r="F130" s="184"/>
    </row>
    <row r="131" spans="1:6" ht="25.5" customHeight="1" x14ac:dyDescent="0.25">
      <c r="A131" s="27"/>
      <c r="B131" s="184"/>
      <c r="E131" s="110"/>
      <c r="F131" s="184"/>
    </row>
    <row r="132" spans="1:6" ht="25.5" customHeight="1" x14ac:dyDescent="0.25">
      <c r="A132" s="27"/>
      <c r="B132" s="184"/>
      <c r="E132" s="110"/>
      <c r="F132" s="184"/>
    </row>
    <row r="133" spans="1:6" ht="25.5" customHeight="1" x14ac:dyDescent="0.25">
      <c r="A133" s="27"/>
      <c r="B133" s="184"/>
      <c r="E133" s="110"/>
      <c r="F133" s="184"/>
    </row>
    <row r="134" spans="1:6" ht="25.5" customHeight="1" x14ac:dyDescent="0.25">
      <c r="A134" s="27"/>
      <c r="B134" s="184"/>
      <c r="E134" s="110"/>
      <c r="F134" s="184"/>
    </row>
    <row r="135" spans="1:6" ht="25.5" customHeight="1" x14ac:dyDescent="0.25">
      <c r="A135" s="27"/>
      <c r="B135" s="184"/>
      <c r="E135" s="110"/>
      <c r="F135" s="184"/>
    </row>
    <row r="136" spans="1:6" ht="25.5" customHeight="1" x14ac:dyDescent="0.25">
      <c r="A136" s="27"/>
      <c r="B136" s="184"/>
      <c r="E136" s="110"/>
      <c r="F136" s="184"/>
    </row>
    <row r="137" spans="1:6" ht="25.5" customHeight="1" x14ac:dyDescent="0.25">
      <c r="A137" s="27"/>
      <c r="B137" s="184"/>
      <c r="E137" s="110"/>
      <c r="F137" s="184"/>
    </row>
    <row r="138" spans="1:6" ht="25.5" customHeight="1" x14ac:dyDescent="0.25">
      <c r="A138" s="27"/>
      <c r="B138" s="184"/>
      <c r="E138" s="110"/>
      <c r="F138" s="184"/>
    </row>
    <row r="139" spans="1:6" ht="25.5" customHeight="1" x14ac:dyDescent="0.25">
      <c r="A139" s="27"/>
      <c r="B139" s="184"/>
      <c r="E139" s="110"/>
      <c r="F139" s="184"/>
    </row>
    <row r="140" spans="1:6" ht="25.5" customHeight="1" x14ac:dyDescent="0.25">
      <c r="A140" s="27"/>
      <c r="B140" s="184"/>
      <c r="E140" s="110"/>
      <c r="F140" s="184"/>
    </row>
    <row r="141" spans="1:6" ht="25.5" customHeight="1" x14ac:dyDescent="0.25">
      <c r="A141" s="27"/>
      <c r="B141" s="184"/>
      <c r="E141" s="110"/>
      <c r="F141" s="184"/>
    </row>
    <row r="142" spans="1:6" ht="25.5" customHeight="1" x14ac:dyDescent="0.25">
      <c r="A142" s="27"/>
      <c r="B142" s="184"/>
      <c r="E142" s="110"/>
      <c r="F142" s="184"/>
    </row>
    <row r="143" spans="1:6" ht="25.5" customHeight="1" x14ac:dyDescent="0.25">
      <c r="A143" s="27"/>
      <c r="B143" s="184"/>
      <c r="E143" s="110"/>
      <c r="F143" s="184"/>
    </row>
    <row r="144" spans="1:6" ht="25.5" customHeight="1" x14ac:dyDescent="0.25">
      <c r="A144" s="27"/>
      <c r="B144" s="184"/>
      <c r="E144" s="110"/>
      <c r="F144" s="184"/>
    </row>
    <row r="145" spans="1:6" ht="25.5" customHeight="1" x14ac:dyDescent="0.25">
      <c r="A145" s="27"/>
      <c r="B145" s="184"/>
      <c r="E145" s="110"/>
      <c r="F145" s="184"/>
    </row>
    <row r="146" spans="1:6" ht="25.5" customHeight="1" x14ac:dyDescent="0.25">
      <c r="A146" s="27"/>
      <c r="B146" s="184"/>
      <c r="E146" s="110"/>
      <c r="F146" s="184"/>
    </row>
    <row r="147" spans="1:6" ht="25.5" customHeight="1" x14ac:dyDescent="0.25">
      <c r="A147" s="27"/>
      <c r="B147" s="184"/>
      <c r="E147" s="110"/>
      <c r="F147" s="184"/>
    </row>
    <row r="148" spans="1:6" ht="25.5" customHeight="1" x14ac:dyDescent="0.25">
      <c r="A148" s="27"/>
      <c r="B148" s="184"/>
      <c r="E148" s="110"/>
      <c r="F148" s="184"/>
    </row>
    <row r="149" spans="1:6" ht="25.5" customHeight="1" x14ac:dyDescent="0.25">
      <c r="A149" s="27"/>
      <c r="B149" s="184"/>
      <c r="E149" s="110"/>
      <c r="F149" s="184"/>
    </row>
    <row r="150" spans="1:6" ht="25.5" customHeight="1" x14ac:dyDescent="0.25">
      <c r="A150" s="27"/>
      <c r="B150" s="184"/>
      <c r="E150" s="110"/>
      <c r="F150" s="184"/>
    </row>
    <row r="151" spans="1:6" ht="25.5" customHeight="1" x14ac:dyDescent="0.25">
      <c r="A151" s="27"/>
      <c r="B151" s="184"/>
      <c r="E151" s="110"/>
      <c r="F151" s="184"/>
    </row>
    <row r="152" spans="1:6" ht="25.5" customHeight="1" x14ac:dyDescent="0.25">
      <c r="A152" s="27"/>
      <c r="B152" s="184"/>
      <c r="E152" s="110"/>
      <c r="F152" s="184"/>
    </row>
    <row r="153" spans="1:6" ht="25.5" customHeight="1" x14ac:dyDescent="0.25">
      <c r="A153" s="27"/>
      <c r="B153" s="184"/>
      <c r="E153" s="110"/>
      <c r="F153" s="184"/>
    </row>
    <row r="154" spans="1:6" ht="25.5" customHeight="1" x14ac:dyDescent="0.25">
      <c r="A154" s="27"/>
      <c r="B154" s="184"/>
      <c r="E154" s="110"/>
      <c r="F154" s="184"/>
    </row>
    <row r="155" spans="1:6" ht="25.5" customHeight="1" x14ac:dyDescent="0.25">
      <c r="A155" s="27"/>
      <c r="B155" s="184"/>
      <c r="E155" s="110"/>
      <c r="F155" s="184"/>
    </row>
    <row r="156" spans="1:6" ht="25.5" customHeight="1" x14ac:dyDescent="0.25">
      <c r="A156" s="27"/>
      <c r="B156" s="184"/>
      <c r="E156" s="110"/>
      <c r="F156" s="184"/>
    </row>
    <row r="157" spans="1:6" ht="25.5" customHeight="1" x14ac:dyDescent="0.25">
      <c r="B157" s="28"/>
      <c r="C157" s="110"/>
      <c r="D157" s="110"/>
      <c r="E157" s="110"/>
      <c r="F157" s="180"/>
    </row>
    <row r="158" spans="1:6" ht="25.5" customHeight="1" x14ac:dyDescent="0.25">
      <c r="B158" s="28"/>
      <c r="C158" s="110"/>
      <c r="D158" s="110"/>
      <c r="E158" s="110"/>
      <c r="F158" s="180"/>
    </row>
    <row r="159" spans="1:6" ht="25.5" customHeight="1" x14ac:dyDescent="0.25">
      <c r="B159" s="29"/>
      <c r="C159" s="110"/>
      <c r="D159" s="110"/>
      <c r="E159" s="110"/>
      <c r="F159" s="180"/>
    </row>
    <row r="160" spans="1:6" ht="25.5" customHeight="1" x14ac:dyDescent="0.25">
      <c r="B160" s="28"/>
      <c r="C160" s="110"/>
      <c r="D160" s="110"/>
      <c r="E160" s="110"/>
      <c r="F160" s="180"/>
    </row>
    <row r="161" spans="2:6" ht="25.5" customHeight="1" x14ac:dyDescent="0.25">
      <c r="B161" s="28"/>
      <c r="C161" s="110"/>
      <c r="D161" s="110"/>
      <c r="E161" s="110"/>
      <c r="F161" s="180"/>
    </row>
    <row r="162" spans="2:6" ht="25.5" customHeight="1" x14ac:dyDescent="0.25">
      <c r="B162" s="29"/>
      <c r="C162" s="110"/>
      <c r="D162" s="110"/>
      <c r="E162" s="110"/>
      <c r="F162" s="180"/>
    </row>
    <row r="163" spans="2:6" ht="25.5" customHeight="1" x14ac:dyDescent="0.25">
      <c r="B163" s="28"/>
      <c r="C163" s="110"/>
      <c r="D163" s="110"/>
      <c r="E163" s="110"/>
      <c r="F163" s="180"/>
    </row>
    <row r="164" spans="2:6" ht="25.5" customHeight="1" x14ac:dyDescent="0.25">
      <c r="B164" s="28"/>
      <c r="C164" s="110"/>
      <c r="D164" s="110"/>
      <c r="E164" s="110"/>
      <c r="F164" s="180"/>
    </row>
    <row r="165" spans="2:6" ht="25.5" customHeight="1" x14ac:dyDescent="0.25">
      <c r="B165" s="28"/>
      <c r="C165" s="110"/>
      <c r="D165" s="110"/>
      <c r="E165" s="110"/>
      <c r="F165" s="180"/>
    </row>
    <row r="166" spans="2:6" ht="25.5" customHeight="1" x14ac:dyDescent="0.25">
      <c r="B166" s="28"/>
      <c r="C166" s="110"/>
      <c r="D166" s="110"/>
      <c r="E166" s="110"/>
      <c r="F166" s="180"/>
    </row>
    <row r="167" spans="2:6" ht="25.5" customHeight="1" x14ac:dyDescent="0.25">
      <c r="B167" s="28"/>
      <c r="C167" s="110"/>
      <c r="D167" s="110"/>
      <c r="E167" s="110"/>
      <c r="F167" s="180"/>
    </row>
  </sheetData>
  <mergeCells count="7">
    <mergeCell ref="A1:Y1"/>
    <mergeCell ref="A4:E5"/>
    <mergeCell ref="T6:T7"/>
    <mergeCell ref="X6:X7"/>
    <mergeCell ref="Y6:Y7"/>
    <mergeCell ref="V6:V7"/>
    <mergeCell ref="G4:Y5"/>
  </mergeCells>
  <phoneticPr fontId="75" type="noConversion"/>
  <conditionalFormatting sqref="G9:S10">
    <cfRule type="containsBlanks" dxfId="142" priority="5">
      <formula>LEN(TRIM(G9))=0</formula>
    </cfRule>
  </conditionalFormatting>
  <conditionalFormatting sqref="G11:S11">
    <cfRule type="containsBlanks" dxfId="141" priority="3">
      <formula>LEN(TRIM(G11))=0</formula>
    </cfRule>
  </conditionalFormatting>
  <conditionalFormatting sqref="G12:S12">
    <cfRule type="containsBlanks" dxfId="140" priority="2">
      <formula>LEN(TRIM(G12))=0</formula>
    </cfRule>
  </conditionalFormatting>
  <conditionalFormatting sqref="G12:S12">
    <cfRule type="containsBlanks" dxfId="139" priority="1">
      <formula>LEN(TRIM(G12))=0</formula>
    </cfRule>
  </conditionalFormatting>
  <dataValidations count="1">
    <dataValidation type="list" allowBlank="1" showInputMessage="1" showErrorMessage="1" sqref="D9:D14">
      <formula1>CATEGORIA</formula1>
    </dataValidation>
  </dataValidations>
  <printOptions horizontalCentered="1" verticalCentered="1" gridLines="1"/>
  <pageMargins left="0" right="0" top="0" bottom="0" header="0.31496062992125984" footer="0.31496062992125984"/>
  <pageSetup paperSize="9" scale="45" fitToHeight="3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4"/>
  <sheetViews>
    <sheetView zoomScale="70" zoomScaleNormal="70" zoomScaleSheetLayoutView="40" workbookViewId="0">
      <selection activeCell="E18" sqref="E18"/>
    </sheetView>
  </sheetViews>
  <sheetFormatPr defaultRowHeight="25.5" customHeight="1" x14ac:dyDescent="0.25"/>
  <cols>
    <col min="1" max="1" width="10.42578125" style="17" customWidth="1"/>
    <col min="2" max="2" width="42.5703125" style="179" customWidth="1"/>
    <col min="3" max="3" width="18.85546875" style="179" bestFit="1" customWidth="1"/>
    <col min="4" max="4" width="10.7109375" style="179" customWidth="1"/>
    <col min="5" max="5" width="10.85546875" style="179" customWidth="1"/>
    <col min="6" max="6" width="15.7109375" style="179" customWidth="1"/>
    <col min="7" max="7" width="17.140625" style="17" bestFit="1" customWidth="1"/>
    <col min="8" max="8" width="16.140625" style="17" bestFit="1" customWidth="1"/>
    <col min="9" max="9" width="13.42578125" style="17" customWidth="1"/>
    <col min="10" max="10" width="12.28515625" style="17" customWidth="1"/>
    <col min="11" max="11" width="13.5703125" style="17" customWidth="1"/>
    <col min="12" max="12" width="13.140625" style="17" customWidth="1"/>
    <col min="13" max="13" width="11.140625" style="17" customWidth="1"/>
    <col min="14" max="14" width="11" style="17" customWidth="1"/>
    <col min="15" max="15" width="10" style="17" customWidth="1"/>
    <col min="16" max="16" width="11.28515625" style="17" customWidth="1"/>
    <col min="17" max="18" width="11.140625" style="17" customWidth="1"/>
    <col min="19" max="19" width="10.28515625" style="17" customWidth="1"/>
    <col min="20" max="20" width="15" style="17" customWidth="1"/>
    <col min="21" max="21" width="4" style="17" customWidth="1"/>
    <col min="22" max="22" width="16.7109375" style="17" customWidth="1"/>
    <col min="23" max="23" width="4" style="17" customWidth="1"/>
    <col min="24" max="24" width="16.7109375" style="17" customWidth="1"/>
    <col min="25" max="25" width="15" style="17" customWidth="1"/>
    <col min="26" max="26" width="9.140625" style="17"/>
    <col min="27" max="66" width="9.140625" style="95"/>
    <col min="67" max="16384" width="9.140625" style="17"/>
  </cols>
  <sheetData>
    <row r="1" spans="1:66" ht="72.95" customHeight="1" thickBot="1" x14ac:dyDescent="0.3">
      <c r="A1" s="239" t="s">
        <v>126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1"/>
    </row>
    <row r="2" spans="1:66" ht="11.25" customHeight="1" x14ac:dyDescent="0.25">
      <c r="A2" s="145"/>
      <c r="B2" s="146"/>
      <c r="C2" s="146"/>
      <c r="D2" s="146"/>
      <c r="E2" s="146"/>
      <c r="F2" s="176"/>
      <c r="G2" s="148">
        <f>IF(COUNTA(MASCHI4[24-mar])=0,0,COUNTA(MASCHI4[24-mar]))</f>
        <v>4</v>
      </c>
      <c r="H2" s="148">
        <f>IF(COUNTA(MASCHI4[14-apr])=0,0,COUNTA(MASCHI4[14-apr]))</f>
        <v>4</v>
      </c>
      <c r="I2" s="148">
        <f>IF(COUNTA(MASCHI4[12-mag])=0,0,COUNTA(MASCHI4[12-mag]))</f>
        <v>3</v>
      </c>
      <c r="J2" s="148">
        <f>IF(COUNTA(MASCHI4[12-giu])=0,0,COUNTA(MASCHI4[12-giu]))</f>
        <v>4</v>
      </c>
      <c r="K2" s="148">
        <f>IF(COUNTA(MASCHI4[16-giu])=0,0,COUNTA(MASCHI4[16-giu]))</f>
        <v>3</v>
      </c>
      <c r="L2" s="148">
        <f>IF(COUNTA(MASCHI4[25-giu])=0,0,COUNTA(MASCHI4[25-giu]))</f>
        <v>2</v>
      </c>
      <c r="M2" s="148">
        <f>IF(COUNTA(MASCHI4[data7])=0,0,COUNTA(MASCHI4[data7]))</f>
        <v>0</v>
      </c>
      <c r="N2" s="148">
        <f>IF(COUNTA(MASCHI4[data8])=0,0,COUNTA(MASCHI4[data8]))</f>
        <v>0</v>
      </c>
      <c r="O2" s="148">
        <f>IF(COUNTA(MASCHI4[data9])=0,0,COUNTA(MASCHI4[data9]))</f>
        <v>0</v>
      </c>
      <c r="P2" s="148">
        <f>IF(COUNTA(MASCHI4[data10])=0,0,COUNTA(MASCHI4[data10]))</f>
        <v>0</v>
      </c>
      <c r="Q2" s="148">
        <f>IF(COUNTA(MASCHI4[data11])=0,0,COUNTA(MASCHI4[data11]))</f>
        <v>0</v>
      </c>
      <c r="R2" s="148">
        <f>IF(COUNTA(MASCHI4[data12])=0,0,COUNTA(MASCHI4[data12]))</f>
        <v>0</v>
      </c>
      <c r="S2" s="148">
        <f>IF(COUNTA(MASCHI4[data13])=0,0,COUNTA(MASCHI4[data13]))</f>
        <v>0</v>
      </c>
      <c r="T2" s="148"/>
      <c r="U2" s="148"/>
      <c r="V2" s="148">
        <f>IF(COUNTA(MASCHI4[data13])=0,0,COUNTA(MASCHI4[data13]))</f>
        <v>0</v>
      </c>
      <c r="W2" s="147"/>
      <c r="X2" s="147"/>
      <c r="Y2" s="147"/>
    </row>
    <row r="3" spans="1:66" ht="11.2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 t="shared" ref="H3:S3" si="0">IF(H2=0,0,1)</f>
        <v>1</v>
      </c>
      <c r="I3" s="148">
        <f t="shared" si="0"/>
        <v>1</v>
      </c>
      <c r="J3" s="148">
        <f t="shared" si="0"/>
        <v>1</v>
      </c>
      <c r="K3" s="148">
        <f t="shared" si="0"/>
        <v>1</v>
      </c>
      <c r="L3" s="148">
        <f t="shared" si="0"/>
        <v>1</v>
      </c>
      <c r="M3" s="148">
        <f t="shared" si="0"/>
        <v>0</v>
      </c>
      <c r="N3" s="148">
        <f t="shared" si="0"/>
        <v>0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6</v>
      </c>
      <c r="U3" s="148"/>
      <c r="V3" s="148">
        <f t="shared" ref="V3" si="1">IF(V2=0,0,1)</f>
        <v>0</v>
      </c>
      <c r="W3" s="147"/>
      <c r="X3" s="147"/>
      <c r="Y3" s="147"/>
    </row>
    <row r="4" spans="1:66" ht="25.5" customHeight="1" x14ac:dyDescent="0.25">
      <c r="A4" s="242" t="s">
        <v>99</v>
      </c>
      <c r="B4" s="243"/>
      <c r="C4" s="243"/>
      <c r="D4" s="243"/>
      <c r="E4" s="244"/>
      <c r="F4" s="150"/>
      <c r="G4" s="254" t="s">
        <v>127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6"/>
    </row>
    <row r="5" spans="1:66" ht="25.5" customHeight="1" x14ac:dyDescent="0.25">
      <c r="A5" s="245"/>
      <c r="B5" s="246"/>
      <c r="C5" s="246"/>
      <c r="D5" s="246"/>
      <c r="E5" s="247"/>
      <c r="F5" s="151"/>
      <c r="G5" s="257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9"/>
    </row>
    <row r="6" spans="1:66" ht="25.5" customHeight="1" x14ac:dyDescent="0.25">
      <c r="A6" s="145"/>
      <c r="B6" s="177"/>
      <c r="C6" s="177"/>
      <c r="D6" s="177"/>
      <c r="E6" s="177"/>
      <c r="F6" s="177"/>
      <c r="G6" s="133" t="s">
        <v>0</v>
      </c>
      <c r="H6" s="133" t="s">
        <v>1</v>
      </c>
      <c r="I6" s="133" t="s">
        <v>2</v>
      </c>
      <c r="J6" s="133" t="s">
        <v>3</v>
      </c>
      <c r="K6" s="133" t="s">
        <v>4</v>
      </c>
      <c r="L6" s="133" t="s">
        <v>5</v>
      </c>
      <c r="M6" s="133" t="s">
        <v>10</v>
      </c>
      <c r="N6" s="133" t="s">
        <v>11</v>
      </c>
      <c r="O6" s="133" t="s">
        <v>12</v>
      </c>
      <c r="P6" s="133" t="s">
        <v>13</v>
      </c>
      <c r="Q6" s="133" t="s">
        <v>14</v>
      </c>
      <c r="R6" s="133" t="s">
        <v>21</v>
      </c>
      <c r="S6" s="134" t="s">
        <v>25</v>
      </c>
      <c r="T6" s="248"/>
      <c r="U6" s="18"/>
      <c r="V6" s="252" t="s">
        <v>79</v>
      </c>
      <c r="W6" s="18"/>
      <c r="X6" s="250" t="s">
        <v>40</v>
      </c>
      <c r="Y6" s="251" t="s">
        <v>16</v>
      </c>
    </row>
    <row r="7" spans="1:66" ht="25.5" customHeight="1" x14ac:dyDescent="0.25">
      <c r="A7" s="145"/>
      <c r="B7" s="177"/>
      <c r="C7" s="177"/>
      <c r="D7" s="177"/>
      <c r="E7" s="177"/>
      <c r="F7" s="177"/>
      <c r="G7" s="135" t="s">
        <v>110</v>
      </c>
      <c r="H7" s="135" t="s">
        <v>113</v>
      </c>
      <c r="I7" s="135" t="s">
        <v>132</v>
      </c>
      <c r="J7" s="135" t="s">
        <v>131</v>
      </c>
      <c r="K7" s="205" t="s">
        <v>128</v>
      </c>
      <c r="L7" s="135" t="s">
        <v>129</v>
      </c>
      <c r="M7" s="135" t="s">
        <v>7</v>
      </c>
      <c r="N7" s="135" t="s">
        <v>7</v>
      </c>
      <c r="O7" s="135" t="s">
        <v>7</v>
      </c>
      <c r="P7" s="135" t="s">
        <v>7</v>
      </c>
      <c r="Q7" s="135" t="s">
        <v>7</v>
      </c>
      <c r="R7" s="135" t="s">
        <v>7</v>
      </c>
      <c r="S7" s="136" t="s">
        <v>7</v>
      </c>
      <c r="T7" s="249"/>
      <c r="U7" s="19"/>
      <c r="V7" s="253"/>
      <c r="W7" s="19"/>
      <c r="X7" s="250"/>
      <c r="Y7" s="251"/>
      <c r="Z7" s="20"/>
      <c r="AA7" s="100"/>
      <c r="AB7" s="100"/>
      <c r="AC7" s="100"/>
      <c r="AD7" s="100"/>
      <c r="AE7" s="100"/>
    </row>
    <row r="8" spans="1:66" s="23" customFormat="1" ht="25.5" customHeight="1" x14ac:dyDescent="0.25">
      <c r="A8" s="142" t="s">
        <v>37</v>
      </c>
      <c r="B8" s="143" t="s">
        <v>19</v>
      </c>
      <c r="C8" s="144" t="s">
        <v>20</v>
      </c>
      <c r="D8" s="144" t="s">
        <v>97</v>
      </c>
      <c r="E8" s="143" t="s">
        <v>98</v>
      </c>
      <c r="F8" s="144" t="s">
        <v>7</v>
      </c>
      <c r="G8" s="137" t="s">
        <v>111</v>
      </c>
      <c r="H8" s="137" t="s">
        <v>121</v>
      </c>
      <c r="I8" s="137" t="s">
        <v>134</v>
      </c>
      <c r="J8" s="137" t="s">
        <v>135</v>
      </c>
      <c r="K8" s="137" t="s">
        <v>137</v>
      </c>
      <c r="L8" s="137" t="s">
        <v>140</v>
      </c>
      <c r="M8" s="137" t="s">
        <v>27</v>
      </c>
      <c r="N8" s="137" t="s">
        <v>28</v>
      </c>
      <c r="O8" s="137" t="s">
        <v>29</v>
      </c>
      <c r="P8" s="137" t="s">
        <v>30</v>
      </c>
      <c r="Q8" s="137" t="s">
        <v>31</v>
      </c>
      <c r="R8" s="137" t="s">
        <v>32</v>
      </c>
      <c r="S8" s="138" t="s">
        <v>33</v>
      </c>
      <c r="T8" s="13" t="s">
        <v>38</v>
      </c>
      <c r="U8" s="21" t="s">
        <v>34</v>
      </c>
      <c r="V8" s="126" t="s">
        <v>39</v>
      </c>
      <c r="W8" s="22" t="s">
        <v>35</v>
      </c>
      <c r="X8" s="14" t="s">
        <v>26</v>
      </c>
      <c r="Y8" s="16" t="s">
        <v>36</v>
      </c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</row>
    <row r="9" spans="1:66" ht="25.5" customHeight="1" x14ac:dyDescent="0.25">
      <c r="A9" s="141">
        <f t="shared" ref="A9:A14" si="2">IF(A8="Elenco",1,IF(B9="","",A8+1))</f>
        <v>1</v>
      </c>
      <c r="B9" s="12" t="s">
        <v>108</v>
      </c>
      <c r="C9" s="163">
        <v>2012</v>
      </c>
      <c r="D9" s="139" t="s">
        <v>9</v>
      </c>
      <c r="E9" s="94">
        <f t="shared" ref="E9:E14" si="3">IF(COUNTA(G9:S9)+COUNTA(V9:V9)=0,"",COUNTA(G9:S9)+COUNTA(V9:V9))</f>
        <v>6</v>
      </c>
      <c r="F9" s="178" t="s">
        <v>128</v>
      </c>
      <c r="G9" s="163">
        <v>7</v>
      </c>
      <c r="H9" s="139">
        <v>1</v>
      </c>
      <c r="I9" s="139">
        <v>1</v>
      </c>
      <c r="J9" s="139">
        <v>1</v>
      </c>
      <c r="K9" s="139">
        <v>1</v>
      </c>
      <c r="L9" s="139">
        <v>1</v>
      </c>
      <c r="M9" s="139"/>
      <c r="N9" s="139"/>
      <c r="O9" s="139"/>
      <c r="P9" s="139"/>
      <c r="Q9" s="139"/>
      <c r="R9" s="139"/>
      <c r="S9" s="139"/>
      <c r="T9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530</v>
      </c>
      <c r="U9" s="73">
        <f>AVERAGE(MASCHI4[[#This Row],[24-mar]:[data13]])</f>
        <v>2</v>
      </c>
      <c r="V9" s="31"/>
      <c r="W9" s="11"/>
      <c r="X9" s="3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530</v>
      </c>
      <c r="Y9" s="15">
        <f t="shared" ref="Y9:Y14" si="4">IFERROR(IF(E9=0,"",X9/E9),"")</f>
        <v>88.333333333333329</v>
      </c>
      <c r="Z9" s="3"/>
    </row>
    <row r="10" spans="1:66" ht="25.5" customHeight="1" x14ac:dyDescent="0.25">
      <c r="A10" s="141">
        <f t="shared" si="2"/>
        <v>2</v>
      </c>
      <c r="B10" s="12" t="s">
        <v>112</v>
      </c>
      <c r="C10" s="163">
        <v>2013</v>
      </c>
      <c r="D10" s="139" t="s">
        <v>15</v>
      </c>
      <c r="E10" s="94">
        <f t="shared" si="3"/>
        <v>6</v>
      </c>
      <c r="F10" s="178" t="s">
        <v>115</v>
      </c>
      <c r="G10" s="38">
        <v>5</v>
      </c>
      <c r="H10" s="139">
        <v>2</v>
      </c>
      <c r="I10" s="139">
        <v>2</v>
      </c>
      <c r="J10" s="139">
        <v>2</v>
      </c>
      <c r="K10" s="139">
        <v>2</v>
      </c>
      <c r="L10" s="139">
        <v>2</v>
      </c>
      <c r="M10" s="139"/>
      <c r="N10" s="139"/>
      <c r="O10" s="139"/>
      <c r="P10" s="139"/>
      <c r="Q10" s="139"/>
      <c r="R10" s="139"/>
      <c r="S10" s="139"/>
      <c r="T10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489</v>
      </c>
      <c r="U10" s="73">
        <f>AVERAGE(MASCHI[[#This Row],[24-mar]:[data13]])</f>
        <v>2.8333333333333335</v>
      </c>
      <c r="V10" s="31"/>
      <c r="W10" s="11"/>
      <c r="X10" s="3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489</v>
      </c>
      <c r="Y10" s="15">
        <f t="shared" si="4"/>
        <v>81.5</v>
      </c>
      <c r="Z10" s="3"/>
    </row>
    <row r="11" spans="1:66" ht="25.5" customHeight="1" x14ac:dyDescent="0.25">
      <c r="A11" s="141">
        <f t="shared" si="2"/>
        <v>3</v>
      </c>
      <c r="B11" s="12" t="s">
        <v>107</v>
      </c>
      <c r="C11" s="163">
        <v>2013</v>
      </c>
      <c r="D11" s="139" t="s">
        <v>9</v>
      </c>
      <c r="E11" s="94">
        <f t="shared" si="3"/>
        <v>4</v>
      </c>
      <c r="F11" s="178" t="s">
        <v>114</v>
      </c>
      <c r="G11" s="206">
        <v>6</v>
      </c>
      <c r="H11" s="164"/>
      <c r="I11" s="164">
        <v>3</v>
      </c>
      <c r="J11" s="164">
        <v>4</v>
      </c>
      <c r="K11" s="164">
        <v>3</v>
      </c>
      <c r="L11" s="164"/>
      <c r="M11" s="164"/>
      <c r="N11" s="164"/>
      <c r="O11" s="164"/>
      <c r="P11" s="164"/>
      <c r="Q11" s="164"/>
      <c r="R11" s="164"/>
      <c r="S11" s="164"/>
      <c r="T11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283</v>
      </c>
      <c r="U11" s="166">
        <f>AVERAGE(MASCHI4[[#This Row],[24-mar]:[data13]])</f>
        <v>4</v>
      </c>
      <c r="V11" s="167"/>
      <c r="W11" s="168"/>
      <c r="X11" s="169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283</v>
      </c>
      <c r="Y11" s="170">
        <f t="shared" si="4"/>
        <v>70.75</v>
      </c>
      <c r="Z11" s="3"/>
    </row>
    <row r="12" spans="1:66" ht="25.5" customHeight="1" x14ac:dyDescent="0.25">
      <c r="A12" s="141">
        <f t="shared" si="2"/>
        <v>4</v>
      </c>
      <c r="B12" s="12" t="s">
        <v>106</v>
      </c>
      <c r="C12" s="163">
        <v>2012</v>
      </c>
      <c r="D12" s="139" t="s">
        <v>9</v>
      </c>
      <c r="E12" s="94">
        <f t="shared" si="3"/>
        <v>2</v>
      </c>
      <c r="F12" s="178" t="s">
        <v>116</v>
      </c>
      <c r="G12" s="30">
        <v>2</v>
      </c>
      <c r="H12" s="139">
        <v>3</v>
      </c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162</v>
      </c>
      <c r="U12" s="73">
        <f>AVERAGE(MASCHI[[#This Row],[24-mar]:[data13]])</f>
        <v>4</v>
      </c>
      <c r="V12" s="31"/>
      <c r="W12" s="11"/>
      <c r="X12" s="3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162</v>
      </c>
      <c r="Y12" s="15">
        <f t="shared" si="4"/>
        <v>81</v>
      </c>
      <c r="Z12" s="3"/>
    </row>
    <row r="13" spans="1:66" ht="25.5" customHeight="1" x14ac:dyDescent="0.25">
      <c r="A13" s="213">
        <f t="shared" si="2"/>
        <v>5</v>
      </c>
      <c r="B13" s="215" t="s">
        <v>138</v>
      </c>
      <c r="C13" s="164">
        <v>2014</v>
      </c>
      <c r="D13" s="164"/>
      <c r="E13" s="216">
        <f t="shared" si="3"/>
        <v>1</v>
      </c>
      <c r="F13" s="218" t="s">
        <v>131</v>
      </c>
      <c r="G13" s="207"/>
      <c r="H13" s="207"/>
      <c r="I13" s="207"/>
      <c r="J13" s="164">
        <v>2</v>
      </c>
      <c r="K13" s="164"/>
      <c r="L13" s="164"/>
      <c r="M13" s="164"/>
      <c r="N13" s="164"/>
      <c r="O13" s="164"/>
      <c r="P13" s="164"/>
      <c r="Q13" s="164"/>
      <c r="R13" s="164"/>
      <c r="S13" s="164"/>
      <c r="T13" s="208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85</v>
      </c>
      <c r="U13" s="209">
        <f>AVERAGE(MASCHI4[[#This Row],[24-mar]:[data13]])</f>
        <v>2</v>
      </c>
      <c r="V13" s="167"/>
      <c r="W13" s="210"/>
      <c r="X13" s="21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85</v>
      </c>
      <c r="Y13" s="212">
        <f t="shared" si="4"/>
        <v>85</v>
      </c>
      <c r="Z13" s="3"/>
    </row>
    <row r="14" spans="1:66" ht="25.5" customHeight="1" x14ac:dyDescent="0.25">
      <c r="A14" s="214">
        <f t="shared" si="2"/>
        <v>6</v>
      </c>
      <c r="B14" s="189" t="s">
        <v>120</v>
      </c>
      <c r="C14" s="190">
        <v>2012</v>
      </c>
      <c r="D14" s="190" t="s">
        <v>42</v>
      </c>
      <c r="E14" s="217">
        <f t="shared" si="3"/>
        <v>1</v>
      </c>
      <c r="F14" s="192" t="s">
        <v>113</v>
      </c>
      <c r="G14" s="191"/>
      <c r="H14" s="163">
        <v>5</v>
      </c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219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64</v>
      </c>
      <c r="U14" s="220">
        <f>AVERAGE(MASCHI4[[#This Row],[24-mar]:[data13]])</f>
        <v>5</v>
      </c>
      <c r="V14" s="195"/>
      <c r="W14" s="221"/>
      <c r="X14" s="222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64</v>
      </c>
      <c r="Y14" s="223">
        <f t="shared" si="4"/>
        <v>64</v>
      </c>
    </row>
    <row r="15" spans="1:66" ht="25.5" customHeight="1" x14ac:dyDescent="0.25">
      <c r="A15" s="24"/>
      <c r="B15" s="25"/>
      <c r="F15" s="180"/>
    </row>
    <row r="16" spans="1:66" ht="25.5" customHeight="1" x14ac:dyDescent="0.25">
      <c r="A16" s="24"/>
      <c r="B16" s="25"/>
    </row>
    <row r="17" spans="1:16" ht="25.5" customHeight="1" x14ac:dyDescent="0.25">
      <c r="A17" s="24"/>
      <c r="B17" s="25"/>
      <c r="K17" s="200" t="s">
        <v>136</v>
      </c>
    </row>
    <row r="18" spans="1:16" ht="25.5" customHeight="1" x14ac:dyDescent="0.25">
      <c r="A18" s="24"/>
      <c r="B18" s="25"/>
      <c r="L18" s="154"/>
      <c r="M18" s="154"/>
      <c r="N18" s="154"/>
      <c r="O18" s="154"/>
      <c r="P18" s="154"/>
    </row>
    <row r="19" spans="1:16" ht="25.5" customHeight="1" x14ac:dyDescent="0.25">
      <c r="A19" s="24"/>
      <c r="B19" s="25"/>
      <c r="L19" s="154"/>
      <c r="M19" s="154"/>
      <c r="N19" s="154"/>
      <c r="O19" s="154"/>
      <c r="P19" s="154"/>
    </row>
    <row r="20" spans="1:16" ht="25.5" customHeight="1" x14ac:dyDescent="0.25">
      <c r="A20" s="24"/>
      <c r="B20" s="25"/>
    </row>
    <row r="21" spans="1:16" ht="25.5" customHeight="1" x14ac:dyDescent="0.25">
      <c r="A21" s="24"/>
      <c r="B21" s="25"/>
    </row>
    <row r="22" spans="1:16" ht="25.5" customHeight="1" x14ac:dyDescent="0.25">
      <c r="A22" s="24"/>
      <c r="B22" s="25"/>
    </row>
    <row r="23" spans="1:16" ht="25.5" customHeight="1" x14ac:dyDescent="0.25">
      <c r="A23" s="24"/>
      <c r="B23" s="25"/>
    </row>
    <row r="24" spans="1:16" ht="25.5" customHeight="1" x14ac:dyDescent="0.25">
      <c r="A24" s="24"/>
      <c r="B24" s="25"/>
      <c r="G24" s="155"/>
      <c r="H24" s="155"/>
      <c r="I24" s="155"/>
      <c r="J24" s="155"/>
      <c r="K24" s="155"/>
    </row>
    <row r="25" spans="1:16" ht="25.5" customHeight="1" x14ac:dyDescent="0.25">
      <c r="A25" s="24"/>
      <c r="B25" s="25"/>
      <c r="G25" s="155"/>
      <c r="H25" s="155"/>
      <c r="I25" s="155"/>
      <c r="J25" s="155"/>
      <c r="K25" s="155"/>
    </row>
    <row r="26" spans="1:16" ht="25.5" customHeight="1" x14ac:dyDescent="0.25">
      <c r="A26" s="24"/>
      <c r="B26" s="25"/>
    </row>
    <row r="27" spans="1:16" ht="25.5" customHeight="1" x14ac:dyDescent="0.25">
      <c r="A27" s="24"/>
      <c r="B27" s="25"/>
    </row>
    <row r="28" spans="1:16" ht="25.5" customHeight="1" x14ac:dyDescent="0.25">
      <c r="A28" s="24"/>
      <c r="B28" s="25"/>
    </row>
    <row r="29" spans="1:16" ht="25.5" customHeight="1" x14ac:dyDescent="0.25">
      <c r="A29" s="24"/>
      <c r="B29" s="25"/>
    </row>
    <row r="30" spans="1:16" ht="25.5" customHeight="1" x14ac:dyDescent="0.25">
      <c r="A30" s="24"/>
      <c r="B30" s="25"/>
    </row>
    <row r="31" spans="1:16" ht="25.5" customHeight="1" x14ac:dyDescent="0.25">
      <c r="A31" s="24"/>
      <c r="B31" s="25"/>
    </row>
    <row r="32" spans="1:16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</row>
    <row r="36" spans="1:6" ht="25.5" customHeight="1" x14ac:dyDescent="0.25">
      <c r="A36" s="24"/>
      <c r="B36" s="25"/>
    </row>
    <row r="37" spans="1:6" ht="25.5" customHeight="1" x14ac:dyDescent="0.25">
      <c r="A37" s="24"/>
      <c r="B37" s="25"/>
    </row>
    <row r="38" spans="1:6" ht="25.5" customHeight="1" x14ac:dyDescent="0.25">
      <c r="A38" s="24"/>
      <c r="B38" s="25"/>
    </row>
    <row r="39" spans="1:6" ht="25.5" customHeight="1" x14ac:dyDescent="0.25">
      <c r="A39" s="24"/>
      <c r="B39" s="25"/>
      <c r="F39" s="180"/>
    </row>
    <row r="40" spans="1:6" ht="25.5" customHeight="1" x14ac:dyDescent="0.25">
      <c r="A40" s="24"/>
      <c r="B40" s="25"/>
      <c r="F40" s="180"/>
    </row>
    <row r="41" spans="1:6" ht="25.5" customHeight="1" x14ac:dyDescent="0.25">
      <c r="A41" s="24"/>
      <c r="B41" s="25"/>
      <c r="F41" s="180"/>
    </row>
    <row r="42" spans="1:6" ht="25.5" customHeight="1" x14ac:dyDescent="0.25">
      <c r="A42" s="24"/>
      <c r="B42" s="25"/>
      <c r="F42" s="180"/>
    </row>
    <row r="43" spans="1:6" ht="25.5" customHeight="1" x14ac:dyDescent="0.25">
      <c r="A43" s="24"/>
      <c r="B43" s="25"/>
      <c r="F43" s="180"/>
    </row>
    <row r="44" spans="1:6" ht="25.5" customHeight="1" x14ac:dyDescent="0.25">
      <c r="A44" s="24"/>
      <c r="B44" s="25"/>
      <c r="F44" s="180"/>
    </row>
    <row r="45" spans="1:6" ht="25.5" customHeight="1" x14ac:dyDescent="0.25">
      <c r="A45" s="24"/>
      <c r="B45" s="25"/>
      <c r="F45" s="180"/>
    </row>
    <row r="46" spans="1:6" ht="25.5" customHeight="1" x14ac:dyDescent="0.25">
      <c r="A46" s="24"/>
      <c r="B46" s="25"/>
      <c r="F46" s="180"/>
    </row>
    <row r="47" spans="1:6" ht="25.5" customHeight="1" x14ac:dyDescent="0.25">
      <c r="A47" s="24"/>
      <c r="B47" s="25"/>
      <c r="F47" s="180"/>
    </row>
    <row r="48" spans="1:6" ht="25.5" customHeight="1" x14ac:dyDescent="0.25">
      <c r="A48" s="24"/>
      <c r="B48" s="25"/>
      <c r="F48" s="180"/>
    </row>
    <row r="49" spans="1:6" ht="25.5" customHeight="1" x14ac:dyDescent="0.25">
      <c r="A49" s="24"/>
      <c r="B49" s="25"/>
      <c r="F49" s="180"/>
    </row>
    <row r="50" spans="1:6" ht="25.5" customHeight="1" x14ac:dyDescent="0.25">
      <c r="A50" s="24"/>
      <c r="B50" s="25"/>
      <c r="F50" s="180"/>
    </row>
    <row r="51" spans="1:6" ht="25.5" customHeight="1" x14ac:dyDescent="0.25">
      <c r="A51" s="24"/>
      <c r="B51" s="25"/>
      <c r="F51" s="180"/>
    </row>
    <row r="52" spans="1:6" ht="25.5" customHeight="1" x14ac:dyDescent="0.25">
      <c r="A52" s="24"/>
      <c r="B52" s="25"/>
      <c r="F52" s="180"/>
    </row>
    <row r="53" spans="1:6" ht="25.5" customHeight="1" x14ac:dyDescent="0.25">
      <c r="A53" s="24"/>
      <c r="B53" s="25"/>
      <c r="F53" s="180"/>
    </row>
    <row r="54" spans="1:6" ht="25.5" customHeight="1" x14ac:dyDescent="0.25">
      <c r="A54" s="24"/>
      <c r="B54" s="25"/>
      <c r="F54" s="180"/>
    </row>
    <row r="55" spans="1:6" ht="25.5" customHeight="1" x14ac:dyDescent="0.25">
      <c r="A55" s="24"/>
      <c r="B55" s="25"/>
      <c r="F55" s="180"/>
    </row>
    <row r="56" spans="1:6" ht="25.5" customHeight="1" x14ac:dyDescent="0.25">
      <c r="A56" s="24"/>
      <c r="B56" s="25"/>
      <c r="F56" s="180"/>
    </row>
    <row r="57" spans="1:6" ht="25.5" customHeight="1" x14ac:dyDescent="0.25">
      <c r="A57" s="24"/>
      <c r="B57" s="25"/>
      <c r="F57" s="180"/>
    </row>
    <row r="58" spans="1:6" ht="25.5" customHeight="1" x14ac:dyDescent="0.25">
      <c r="A58" s="24"/>
      <c r="B58" s="25"/>
      <c r="F58" s="180"/>
    </row>
    <row r="59" spans="1:6" ht="25.5" customHeight="1" x14ac:dyDescent="0.25">
      <c r="A59" s="24"/>
      <c r="B59" s="25"/>
      <c r="F59" s="180"/>
    </row>
    <row r="60" spans="1:6" ht="25.5" customHeight="1" x14ac:dyDescent="0.25">
      <c r="A60" s="24"/>
      <c r="B60" s="25"/>
      <c r="F60" s="180"/>
    </row>
    <row r="61" spans="1:6" ht="25.5" customHeight="1" x14ac:dyDescent="0.25">
      <c r="A61" s="24"/>
      <c r="B61" s="25"/>
      <c r="F61" s="180"/>
    </row>
    <row r="62" spans="1:6" ht="25.5" customHeight="1" x14ac:dyDescent="0.25">
      <c r="A62" s="24"/>
      <c r="B62" s="25"/>
      <c r="F62" s="180"/>
    </row>
    <row r="63" spans="1:6" ht="25.5" customHeight="1" x14ac:dyDescent="0.25">
      <c r="A63" s="24"/>
      <c r="B63" s="25"/>
      <c r="F63" s="180"/>
    </row>
    <row r="64" spans="1:6" ht="25.5" customHeight="1" x14ac:dyDescent="0.25">
      <c r="A64" s="24"/>
      <c r="B64" s="25"/>
      <c r="F64" s="180"/>
    </row>
    <row r="65" spans="1:6" ht="25.5" customHeight="1" x14ac:dyDescent="0.25">
      <c r="A65" s="24"/>
      <c r="B65" s="25"/>
      <c r="F65" s="180"/>
    </row>
    <row r="66" spans="1:6" ht="25.5" customHeight="1" x14ac:dyDescent="0.25">
      <c r="A66" s="24"/>
      <c r="B66" s="25"/>
      <c r="F66" s="180"/>
    </row>
    <row r="67" spans="1:6" ht="25.5" customHeight="1" x14ac:dyDescent="0.25">
      <c r="A67" s="24"/>
      <c r="B67" s="25"/>
      <c r="F67" s="180"/>
    </row>
    <row r="68" spans="1:6" ht="25.5" customHeight="1" x14ac:dyDescent="0.25">
      <c r="A68" s="24"/>
      <c r="B68" s="25"/>
      <c r="F68" s="180"/>
    </row>
    <row r="69" spans="1:6" ht="25.5" customHeight="1" x14ac:dyDescent="0.25">
      <c r="A69" s="24"/>
      <c r="B69" s="25"/>
      <c r="F69" s="180"/>
    </row>
    <row r="70" spans="1:6" ht="25.5" customHeight="1" x14ac:dyDescent="0.25">
      <c r="A70" s="24"/>
      <c r="B70" s="25"/>
      <c r="F70" s="180"/>
    </row>
    <row r="71" spans="1:6" ht="25.5" customHeight="1" x14ac:dyDescent="0.25">
      <c r="A71" s="24"/>
      <c r="B71" s="25"/>
      <c r="F71" s="180"/>
    </row>
    <row r="72" spans="1:6" ht="25.5" customHeight="1" x14ac:dyDescent="0.25">
      <c r="A72" s="24"/>
      <c r="B72" s="25"/>
      <c r="F72" s="180"/>
    </row>
    <row r="73" spans="1:6" ht="25.5" customHeight="1" x14ac:dyDescent="0.25">
      <c r="A73" s="24"/>
      <c r="B73" s="25"/>
      <c r="F73" s="180"/>
    </row>
    <row r="74" spans="1:6" ht="25.5" customHeight="1" x14ac:dyDescent="0.25">
      <c r="A74" s="24"/>
      <c r="B74" s="25"/>
      <c r="F74" s="180"/>
    </row>
    <row r="75" spans="1:6" ht="25.5" customHeight="1" x14ac:dyDescent="0.25">
      <c r="A75" s="24"/>
      <c r="B75" s="25"/>
      <c r="F75" s="180"/>
    </row>
    <row r="76" spans="1:6" ht="25.5" customHeight="1" x14ac:dyDescent="0.25">
      <c r="A76" s="24"/>
      <c r="B76" s="25"/>
      <c r="F76" s="180"/>
    </row>
    <row r="77" spans="1:6" ht="25.5" customHeight="1" x14ac:dyDescent="0.25">
      <c r="A77" s="24"/>
      <c r="B77" s="25"/>
      <c r="F77" s="180"/>
    </row>
    <row r="78" spans="1:6" ht="25.5" customHeight="1" x14ac:dyDescent="0.25">
      <c r="A78" s="24"/>
      <c r="B78" s="25"/>
      <c r="F78" s="180"/>
    </row>
    <row r="79" spans="1:6" ht="25.5" customHeight="1" x14ac:dyDescent="0.25">
      <c r="A79" s="24"/>
      <c r="B79" s="25"/>
      <c r="F79" s="180"/>
    </row>
    <row r="80" spans="1:6" ht="25.5" customHeight="1" x14ac:dyDescent="0.25">
      <c r="A80" s="24"/>
      <c r="B80" s="25"/>
      <c r="F80" s="180"/>
    </row>
    <row r="81" spans="1:22" ht="25.5" customHeight="1" x14ac:dyDescent="0.25">
      <c r="A81" s="24"/>
      <c r="B81" s="25"/>
      <c r="F81" s="180"/>
    </row>
    <row r="82" spans="1:22" ht="25.5" customHeight="1" x14ac:dyDescent="0.25">
      <c r="A82" s="24"/>
      <c r="B82" s="25"/>
      <c r="E82" s="99"/>
      <c r="F82" s="98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</row>
    <row r="83" spans="1:22" ht="25.5" customHeight="1" x14ac:dyDescent="0.25">
      <c r="A83" s="24"/>
      <c r="B83" s="25"/>
      <c r="E83" s="99"/>
      <c r="F83" s="98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</row>
    <row r="84" spans="1:22" ht="25.5" customHeight="1" x14ac:dyDescent="0.25">
      <c r="A84" s="24"/>
      <c r="E84" s="99"/>
      <c r="F84" s="181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9"/>
      <c r="U84" s="95"/>
      <c r="V84" s="95"/>
    </row>
    <row r="85" spans="1:22" ht="25.5" customHeight="1" x14ac:dyDescent="0.25">
      <c r="A85" s="24"/>
      <c r="E85" s="99"/>
      <c r="F85" s="181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5"/>
      <c r="U85" s="95"/>
      <c r="V85" s="96"/>
    </row>
    <row r="86" spans="1:22" ht="25.5" customHeight="1" x14ac:dyDescent="0.25">
      <c r="A86" s="24"/>
      <c r="E86" s="99"/>
      <c r="F86" s="181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5"/>
      <c r="U86" s="95"/>
      <c r="V86" s="96"/>
    </row>
    <row r="87" spans="1:22" ht="25.5" customHeight="1" x14ac:dyDescent="0.25">
      <c r="A87" s="24"/>
      <c r="E87" s="99"/>
      <c r="F87" s="181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9"/>
      <c r="U87" s="95"/>
      <c r="V87" s="98"/>
    </row>
    <row r="88" spans="1:22" ht="25.5" customHeight="1" x14ac:dyDescent="0.25">
      <c r="A88" s="24"/>
      <c r="E88" s="99"/>
      <c r="F88" s="99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8"/>
    </row>
    <row r="89" spans="1:22" ht="25.5" customHeight="1" x14ac:dyDescent="0.25">
      <c r="A89" s="24"/>
      <c r="E89" s="99"/>
      <c r="F89" s="99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</row>
    <row r="90" spans="1:22" ht="25.5" customHeight="1" x14ac:dyDescent="0.25">
      <c r="A90" s="24"/>
      <c r="B90" s="100"/>
      <c r="E90" s="182"/>
      <c r="F90" s="99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</row>
    <row r="91" spans="1:22" ht="25.5" customHeight="1" x14ac:dyDescent="0.25">
      <c r="A91" s="24"/>
      <c r="B91" s="102"/>
      <c r="C91" s="103"/>
      <c r="D91" s="103"/>
      <c r="E91" s="104"/>
      <c r="F91" s="183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</row>
    <row r="92" spans="1:22" ht="25.5" customHeight="1" x14ac:dyDescent="0.25">
      <c r="A92" s="24"/>
      <c r="B92" s="184"/>
      <c r="C92" s="106"/>
      <c r="D92" s="106"/>
      <c r="E92" s="107"/>
      <c r="F92" s="108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</row>
    <row r="93" spans="1:22" ht="25.5" customHeight="1" x14ac:dyDescent="0.25">
      <c r="A93" s="24"/>
      <c r="E93" s="99"/>
      <c r="F93" s="99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</row>
    <row r="94" spans="1:22" ht="25.5" customHeight="1" x14ac:dyDescent="0.25">
      <c r="A94" s="24"/>
      <c r="E94" s="99"/>
      <c r="F94" s="99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</row>
    <row r="95" spans="1:22" ht="25.5" customHeight="1" x14ac:dyDescent="0.25">
      <c r="A95" s="24"/>
      <c r="E95" s="99"/>
      <c r="F95" s="99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</row>
    <row r="96" spans="1:22" ht="25.5" customHeight="1" x14ac:dyDescent="0.25">
      <c r="A96" s="24"/>
      <c r="E96" s="99"/>
      <c r="F96" s="99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</row>
    <row r="97" spans="1:22" ht="25.5" customHeight="1" x14ac:dyDescent="0.25">
      <c r="A97" s="27"/>
      <c r="B97" s="184"/>
      <c r="E97" s="104"/>
      <c r="F97" s="18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</row>
    <row r="98" spans="1:22" ht="25.5" customHeight="1" x14ac:dyDescent="0.25">
      <c r="A98" s="27"/>
      <c r="B98" s="184"/>
      <c r="E98" s="104"/>
      <c r="F98" s="18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</row>
    <row r="99" spans="1:22" ht="25.5" customHeight="1" x14ac:dyDescent="0.25">
      <c r="A99" s="27"/>
      <c r="B99" s="184"/>
      <c r="E99" s="110"/>
      <c r="F99" s="184"/>
    </row>
    <row r="100" spans="1:22" ht="25.5" customHeight="1" x14ac:dyDescent="0.25">
      <c r="A100" s="27"/>
      <c r="B100" s="184"/>
      <c r="E100" s="110"/>
      <c r="F100" s="184"/>
    </row>
    <row r="101" spans="1:22" ht="25.5" customHeight="1" x14ac:dyDescent="0.25">
      <c r="A101" s="27"/>
      <c r="B101" s="184"/>
      <c r="E101" s="110"/>
      <c r="F101" s="184"/>
    </row>
    <row r="102" spans="1:22" ht="25.5" customHeight="1" x14ac:dyDescent="0.25">
      <c r="A102" s="27"/>
      <c r="B102" s="184"/>
      <c r="E102" s="110"/>
      <c r="F102" s="184"/>
    </row>
    <row r="103" spans="1:22" ht="25.5" customHeight="1" x14ac:dyDescent="0.25">
      <c r="A103" s="27"/>
      <c r="B103" s="184"/>
      <c r="E103" s="110"/>
      <c r="F103" s="184"/>
    </row>
    <row r="104" spans="1:22" ht="25.5" customHeight="1" x14ac:dyDescent="0.25">
      <c r="A104" s="27"/>
      <c r="B104" s="184"/>
      <c r="E104" s="110"/>
      <c r="F104" s="184"/>
    </row>
    <row r="105" spans="1:22" ht="25.5" customHeight="1" x14ac:dyDescent="0.25">
      <c r="A105" s="27"/>
      <c r="B105" s="184"/>
      <c r="E105" s="110"/>
      <c r="F105" s="184"/>
    </row>
    <row r="106" spans="1:22" ht="25.5" customHeight="1" x14ac:dyDescent="0.25">
      <c r="A106" s="27"/>
      <c r="B106" s="184"/>
      <c r="E106" s="110"/>
      <c r="F106" s="184"/>
    </row>
    <row r="107" spans="1:22" ht="25.5" customHeight="1" x14ac:dyDescent="0.25">
      <c r="A107" s="27"/>
      <c r="B107" s="184"/>
      <c r="E107" s="110"/>
      <c r="F107" s="184"/>
    </row>
    <row r="108" spans="1:22" ht="25.5" customHeight="1" x14ac:dyDescent="0.25">
      <c r="A108" s="27"/>
      <c r="B108" s="184"/>
      <c r="E108" s="110"/>
      <c r="F108" s="184"/>
    </row>
    <row r="109" spans="1:22" ht="25.5" customHeight="1" x14ac:dyDescent="0.25">
      <c r="A109" s="27"/>
      <c r="B109" s="184"/>
      <c r="E109" s="110"/>
      <c r="F109" s="184"/>
    </row>
    <row r="110" spans="1:22" ht="25.5" customHeight="1" x14ac:dyDescent="0.25">
      <c r="A110" s="27"/>
      <c r="B110" s="184"/>
      <c r="E110" s="110"/>
      <c r="F110" s="184"/>
    </row>
    <row r="111" spans="1:22" ht="25.5" customHeight="1" x14ac:dyDescent="0.25">
      <c r="A111" s="27"/>
      <c r="B111" s="184"/>
      <c r="E111" s="110"/>
      <c r="F111" s="184"/>
    </row>
    <row r="112" spans="1:22" ht="25.5" customHeight="1" x14ac:dyDescent="0.25">
      <c r="A112" s="27"/>
      <c r="B112" s="184"/>
      <c r="E112" s="110"/>
      <c r="F112" s="184"/>
    </row>
    <row r="113" spans="1:6" ht="25.5" customHeight="1" x14ac:dyDescent="0.25">
      <c r="A113" s="27"/>
      <c r="B113" s="184"/>
      <c r="E113" s="110"/>
      <c r="F113" s="184"/>
    </row>
    <row r="114" spans="1:6" ht="25.5" customHeight="1" x14ac:dyDescent="0.25">
      <c r="A114" s="27"/>
      <c r="B114" s="184"/>
      <c r="E114" s="110"/>
      <c r="F114" s="184"/>
    </row>
    <row r="115" spans="1:6" ht="25.5" customHeight="1" x14ac:dyDescent="0.25">
      <c r="A115" s="27"/>
      <c r="B115" s="184"/>
      <c r="E115" s="110"/>
      <c r="F115" s="184"/>
    </row>
    <row r="116" spans="1:6" ht="25.5" customHeight="1" x14ac:dyDescent="0.25">
      <c r="A116" s="27"/>
      <c r="B116" s="184"/>
      <c r="E116" s="110"/>
      <c r="F116" s="184"/>
    </row>
    <row r="117" spans="1:6" ht="25.5" customHeight="1" x14ac:dyDescent="0.25">
      <c r="A117" s="27"/>
      <c r="B117" s="184"/>
      <c r="E117" s="110"/>
      <c r="F117" s="184"/>
    </row>
    <row r="118" spans="1:6" ht="25.5" customHeight="1" x14ac:dyDescent="0.25">
      <c r="A118" s="27"/>
      <c r="B118" s="184"/>
      <c r="E118" s="110"/>
      <c r="F118" s="184"/>
    </row>
    <row r="119" spans="1:6" ht="25.5" customHeight="1" x14ac:dyDescent="0.25">
      <c r="A119" s="27"/>
      <c r="B119" s="184"/>
      <c r="E119" s="110"/>
      <c r="F119" s="184"/>
    </row>
    <row r="120" spans="1:6" ht="25.5" customHeight="1" x14ac:dyDescent="0.25">
      <c r="A120" s="27"/>
      <c r="B120" s="184"/>
      <c r="E120" s="110"/>
      <c r="F120" s="184"/>
    </row>
    <row r="121" spans="1:6" ht="25.5" customHeight="1" x14ac:dyDescent="0.25">
      <c r="A121" s="27"/>
      <c r="B121" s="184"/>
      <c r="E121" s="110"/>
      <c r="F121" s="184"/>
    </row>
    <row r="122" spans="1:6" ht="25.5" customHeight="1" x14ac:dyDescent="0.25">
      <c r="A122" s="27"/>
      <c r="B122" s="184"/>
      <c r="E122" s="110"/>
      <c r="F122" s="184"/>
    </row>
    <row r="123" spans="1:6" ht="25.5" customHeight="1" x14ac:dyDescent="0.25">
      <c r="A123" s="27"/>
      <c r="B123" s="184"/>
      <c r="E123" s="110"/>
      <c r="F123" s="184"/>
    </row>
    <row r="124" spans="1:6" ht="25.5" customHeight="1" x14ac:dyDescent="0.25">
      <c r="A124" s="27"/>
      <c r="B124" s="184"/>
      <c r="E124" s="110"/>
      <c r="F124" s="184"/>
    </row>
    <row r="125" spans="1:6" ht="25.5" customHeight="1" x14ac:dyDescent="0.25">
      <c r="A125" s="27"/>
      <c r="B125" s="184"/>
      <c r="E125" s="110"/>
      <c r="F125" s="184"/>
    </row>
    <row r="126" spans="1:6" ht="25.5" customHeight="1" x14ac:dyDescent="0.25">
      <c r="A126" s="27"/>
      <c r="B126" s="184"/>
      <c r="E126" s="110"/>
      <c r="F126" s="184"/>
    </row>
    <row r="127" spans="1:6" ht="25.5" customHeight="1" x14ac:dyDescent="0.25">
      <c r="A127" s="27"/>
      <c r="B127" s="184"/>
      <c r="E127" s="110"/>
      <c r="F127" s="184"/>
    </row>
    <row r="128" spans="1:6" ht="25.5" customHeight="1" x14ac:dyDescent="0.25">
      <c r="A128" s="27"/>
      <c r="B128" s="184"/>
      <c r="E128" s="110"/>
      <c r="F128" s="184"/>
    </row>
    <row r="129" spans="1:6" ht="25.5" customHeight="1" x14ac:dyDescent="0.25">
      <c r="A129" s="27"/>
      <c r="B129" s="184"/>
      <c r="E129" s="110"/>
      <c r="F129" s="184"/>
    </row>
    <row r="130" spans="1:6" ht="25.5" customHeight="1" x14ac:dyDescent="0.25">
      <c r="A130" s="27"/>
      <c r="B130" s="184"/>
      <c r="E130" s="110"/>
      <c r="F130" s="184"/>
    </row>
    <row r="131" spans="1:6" ht="25.5" customHeight="1" x14ac:dyDescent="0.25">
      <c r="A131" s="27"/>
      <c r="B131" s="184"/>
      <c r="E131" s="110"/>
      <c r="F131" s="184"/>
    </row>
    <row r="132" spans="1:6" ht="25.5" customHeight="1" x14ac:dyDescent="0.25">
      <c r="A132" s="27"/>
      <c r="B132" s="184"/>
      <c r="E132" s="110"/>
      <c r="F132" s="184"/>
    </row>
    <row r="133" spans="1:6" ht="25.5" customHeight="1" x14ac:dyDescent="0.25">
      <c r="A133" s="27"/>
      <c r="B133" s="184"/>
      <c r="E133" s="110"/>
      <c r="F133" s="184"/>
    </row>
    <row r="134" spans="1:6" ht="25.5" customHeight="1" x14ac:dyDescent="0.25">
      <c r="A134" s="27"/>
      <c r="B134" s="184"/>
      <c r="E134" s="110"/>
      <c r="F134" s="184"/>
    </row>
    <row r="135" spans="1:6" ht="25.5" customHeight="1" x14ac:dyDescent="0.25">
      <c r="A135" s="27"/>
      <c r="B135" s="184"/>
      <c r="E135" s="110"/>
      <c r="F135" s="184"/>
    </row>
    <row r="136" spans="1:6" ht="25.5" customHeight="1" x14ac:dyDescent="0.25">
      <c r="A136" s="27"/>
      <c r="B136" s="184"/>
      <c r="E136" s="110"/>
      <c r="F136" s="184"/>
    </row>
    <row r="137" spans="1:6" ht="25.5" customHeight="1" x14ac:dyDescent="0.25">
      <c r="A137" s="27"/>
      <c r="B137" s="184"/>
      <c r="E137" s="110"/>
      <c r="F137" s="184"/>
    </row>
    <row r="138" spans="1:6" ht="25.5" customHeight="1" x14ac:dyDescent="0.25">
      <c r="A138" s="27"/>
      <c r="B138" s="184"/>
      <c r="E138" s="110"/>
      <c r="F138" s="184"/>
    </row>
    <row r="139" spans="1:6" ht="25.5" customHeight="1" x14ac:dyDescent="0.25">
      <c r="A139" s="27"/>
      <c r="B139" s="184"/>
      <c r="E139" s="110"/>
      <c r="F139" s="184"/>
    </row>
    <row r="140" spans="1:6" ht="25.5" customHeight="1" x14ac:dyDescent="0.25">
      <c r="A140" s="27"/>
      <c r="B140" s="184"/>
      <c r="E140" s="110"/>
      <c r="F140" s="184"/>
    </row>
    <row r="141" spans="1:6" ht="25.5" customHeight="1" x14ac:dyDescent="0.25">
      <c r="A141" s="27"/>
      <c r="B141" s="184"/>
      <c r="E141" s="110"/>
      <c r="F141" s="184"/>
    </row>
    <row r="142" spans="1:6" ht="25.5" customHeight="1" x14ac:dyDescent="0.25">
      <c r="A142" s="27"/>
      <c r="B142" s="184"/>
      <c r="E142" s="110"/>
      <c r="F142" s="184"/>
    </row>
    <row r="143" spans="1:6" ht="25.5" customHeight="1" x14ac:dyDescent="0.25">
      <c r="A143" s="27"/>
      <c r="B143" s="184"/>
      <c r="E143" s="110"/>
      <c r="F143" s="184"/>
    </row>
    <row r="144" spans="1:6" ht="25.5" customHeight="1" x14ac:dyDescent="0.25">
      <c r="A144" s="27"/>
      <c r="B144" s="184"/>
      <c r="E144" s="110"/>
      <c r="F144" s="184"/>
    </row>
    <row r="145" spans="1:6" ht="25.5" customHeight="1" x14ac:dyDescent="0.25">
      <c r="A145" s="27"/>
      <c r="B145" s="184"/>
      <c r="E145" s="110"/>
      <c r="F145" s="184"/>
    </row>
    <row r="146" spans="1:6" ht="25.5" customHeight="1" x14ac:dyDescent="0.25">
      <c r="A146" s="27"/>
      <c r="B146" s="184"/>
      <c r="E146" s="110"/>
      <c r="F146" s="184"/>
    </row>
    <row r="147" spans="1:6" ht="25.5" customHeight="1" x14ac:dyDescent="0.25">
      <c r="A147" s="27"/>
      <c r="B147" s="184"/>
      <c r="E147" s="110"/>
      <c r="F147" s="184"/>
    </row>
    <row r="148" spans="1:6" ht="25.5" customHeight="1" x14ac:dyDescent="0.25">
      <c r="A148" s="27"/>
      <c r="B148" s="184"/>
      <c r="E148" s="110"/>
      <c r="F148" s="184"/>
    </row>
    <row r="149" spans="1:6" ht="25.5" customHeight="1" x14ac:dyDescent="0.25">
      <c r="A149" s="27"/>
      <c r="B149" s="184"/>
      <c r="E149" s="110"/>
      <c r="F149" s="184"/>
    </row>
    <row r="150" spans="1:6" ht="25.5" customHeight="1" x14ac:dyDescent="0.25">
      <c r="A150" s="27"/>
      <c r="B150" s="184"/>
      <c r="E150" s="110"/>
      <c r="F150" s="184"/>
    </row>
    <row r="151" spans="1:6" ht="25.5" customHeight="1" x14ac:dyDescent="0.25">
      <c r="A151" s="27"/>
      <c r="B151" s="184"/>
      <c r="E151" s="110"/>
      <c r="F151" s="184"/>
    </row>
    <row r="152" spans="1:6" ht="25.5" customHeight="1" x14ac:dyDescent="0.25">
      <c r="A152" s="27"/>
      <c r="B152" s="184"/>
      <c r="E152" s="110"/>
      <c r="F152" s="184"/>
    </row>
    <row r="153" spans="1:6" ht="25.5" customHeight="1" x14ac:dyDescent="0.25">
      <c r="A153" s="27"/>
      <c r="B153" s="184"/>
      <c r="E153" s="110"/>
      <c r="F153" s="184"/>
    </row>
    <row r="154" spans="1:6" ht="25.5" customHeight="1" x14ac:dyDescent="0.25">
      <c r="B154" s="28"/>
      <c r="C154" s="110"/>
      <c r="D154" s="110"/>
      <c r="E154" s="110"/>
      <c r="F154" s="180"/>
    </row>
    <row r="155" spans="1:6" ht="25.5" customHeight="1" x14ac:dyDescent="0.25">
      <c r="B155" s="28"/>
      <c r="C155" s="110"/>
      <c r="D155" s="110"/>
      <c r="E155" s="110"/>
      <c r="F155" s="180"/>
    </row>
    <row r="156" spans="1:6" ht="25.5" customHeight="1" x14ac:dyDescent="0.25">
      <c r="B156" s="29"/>
      <c r="C156" s="110"/>
      <c r="D156" s="110"/>
      <c r="E156" s="110"/>
      <c r="F156" s="180"/>
    </row>
    <row r="157" spans="1:6" ht="25.5" customHeight="1" x14ac:dyDescent="0.25">
      <c r="B157" s="28"/>
      <c r="C157" s="110"/>
      <c r="D157" s="110"/>
      <c r="E157" s="110"/>
      <c r="F157" s="180"/>
    </row>
    <row r="158" spans="1:6" ht="25.5" customHeight="1" x14ac:dyDescent="0.25">
      <c r="B158" s="28"/>
      <c r="C158" s="110"/>
      <c r="D158" s="110"/>
      <c r="E158" s="110"/>
      <c r="F158" s="180"/>
    </row>
    <row r="159" spans="1:6" ht="25.5" customHeight="1" x14ac:dyDescent="0.25">
      <c r="B159" s="29"/>
      <c r="C159" s="110"/>
      <c r="D159" s="110"/>
      <c r="E159" s="110"/>
      <c r="F159" s="180"/>
    </row>
    <row r="160" spans="1:6" ht="25.5" customHeight="1" x14ac:dyDescent="0.25">
      <c r="B160" s="28"/>
      <c r="C160" s="110"/>
      <c r="D160" s="110"/>
      <c r="E160" s="110"/>
      <c r="F160" s="180"/>
    </row>
    <row r="161" spans="2:6" ht="25.5" customHeight="1" x14ac:dyDescent="0.25">
      <c r="B161" s="28"/>
      <c r="C161" s="110"/>
      <c r="D161" s="110"/>
      <c r="E161" s="110"/>
      <c r="F161" s="180"/>
    </row>
    <row r="162" spans="2:6" ht="25.5" customHeight="1" x14ac:dyDescent="0.25">
      <c r="B162" s="28"/>
      <c r="C162" s="110"/>
      <c r="D162" s="110"/>
      <c r="E162" s="110"/>
      <c r="F162" s="180"/>
    </row>
    <row r="163" spans="2:6" ht="25.5" customHeight="1" x14ac:dyDescent="0.25">
      <c r="B163" s="28"/>
      <c r="C163" s="110"/>
      <c r="D163" s="110"/>
      <c r="E163" s="110"/>
      <c r="F163" s="180"/>
    </row>
    <row r="164" spans="2:6" ht="25.5" customHeight="1" x14ac:dyDescent="0.25">
      <c r="B164" s="28"/>
      <c r="C164" s="110"/>
      <c r="D164" s="110"/>
      <c r="E164" s="110"/>
      <c r="F164" s="180"/>
    </row>
  </sheetData>
  <mergeCells count="7">
    <mergeCell ref="A1:Y1"/>
    <mergeCell ref="A4:E5"/>
    <mergeCell ref="G4:Y5"/>
    <mergeCell ref="T6:T7"/>
    <mergeCell ref="V6:V7"/>
    <mergeCell ref="X6:X7"/>
    <mergeCell ref="Y6:Y7"/>
  </mergeCells>
  <conditionalFormatting sqref="G10:S10 G13:S13">
    <cfRule type="containsBlanks" dxfId="108" priority="7">
      <formula>LEN(TRIM(G10))=0</formula>
    </cfRule>
  </conditionalFormatting>
  <conditionalFormatting sqref="G11:S11">
    <cfRule type="containsBlanks" dxfId="107" priority="2">
      <formula>LEN(TRIM(G11))=0</formula>
    </cfRule>
  </conditionalFormatting>
  <conditionalFormatting sqref="G9:S9">
    <cfRule type="containsBlanks" dxfId="106" priority="3">
      <formula>LEN(TRIM(G9))=0</formula>
    </cfRule>
  </conditionalFormatting>
  <conditionalFormatting sqref="G12:S12">
    <cfRule type="containsBlanks" dxfId="105" priority="1">
      <formula>LEN(TRIM(G12))=0</formula>
    </cfRule>
  </conditionalFormatting>
  <dataValidations disablePrompts="1" count="1">
    <dataValidation type="list" allowBlank="1" showInputMessage="1" showErrorMessage="1" sqref="D9:D14">
      <formula1>CATEGORIA</formula1>
    </dataValidation>
  </dataValidations>
  <printOptions horizontalCentered="1" verticalCentered="1" gridLines="1"/>
  <pageMargins left="0" right="0" top="0" bottom="0" header="0.31496062992125984" footer="0.31496062992125984"/>
  <pageSetup paperSize="9" scale="45" fitToHeight="3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1"/>
  <sheetViews>
    <sheetView zoomScale="70" zoomScaleNormal="70" workbookViewId="0">
      <selection activeCell="K19" sqref="K19"/>
    </sheetView>
  </sheetViews>
  <sheetFormatPr defaultRowHeight="25.5" customHeight="1" x14ac:dyDescent="0.25"/>
  <cols>
    <col min="1" max="1" width="10.42578125" style="17" customWidth="1"/>
    <col min="2" max="2" width="42.5703125" style="179" customWidth="1"/>
    <col min="3" max="3" width="18.85546875" style="179" bestFit="1" customWidth="1"/>
    <col min="4" max="4" width="13.28515625" style="179" customWidth="1"/>
    <col min="5" max="5" width="10.85546875" style="179" customWidth="1"/>
    <col min="6" max="6" width="21.42578125" style="179" customWidth="1"/>
    <col min="7" max="7" width="15.7109375" style="17" customWidth="1"/>
    <col min="8" max="8" width="15.5703125" style="17" customWidth="1"/>
    <col min="9" max="9" width="14" style="17" customWidth="1"/>
    <col min="10" max="10" width="11.5703125" style="17" customWidth="1"/>
    <col min="11" max="11" width="14.7109375" style="17" customWidth="1"/>
    <col min="12" max="12" width="13.28515625" style="17" customWidth="1"/>
    <col min="13" max="13" width="9.42578125" style="17" customWidth="1"/>
    <col min="14" max="14" width="8.5703125" style="17" customWidth="1"/>
    <col min="15" max="15" width="10.28515625" style="17" customWidth="1"/>
    <col min="16" max="16" width="9.5703125" style="17" customWidth="1"/>
    <col min="17" max="17" width="10.42578125" style="17" customWidth="1"/>
    <col min="18" max="18" width="9.140625" style="17" customWidth="1"/>
    <col min="19" max="19" width="9.85546875" style="17" customWidth="1"/>
    <col min="20" max="20" width="15" style="17" customWidth="1"/>
    <col min="21" max="21" width="4.5703125" style="17" customWidth="1"/>
    <col min="22" max="22" width="18" style="17" customWidth="1"/>
    <col min="23" max="23" width="4" style="17" customWidth="1"/>
    <col min="24" max="24" width="18" style="17" customWidth="1"/>
    <col min="25" max="25" width="15" style="17" customWidth="1"/>
    <col min="26" max="16384" width="9.140625" style="17"/>
  </cols>
  <sheetData>
    <row r="1" spans="1:31" ht="72.95" customHeight="1" thickBot="1" x14ac:dyDescent="0.3">
      <c r="A1" s="239" t="s">
        <v>126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1"/>
    </row>
    <row r="2" spans="1:31" ht="9.75" customHeight="1" x14ac:dyDescent="0.25">
      <c r="A2" s="146"/>
      <c r="B2" s="146"/>
      <c r="C2" s="146"/>
      <c r="D2" s="146"/>
      <c r="E2" s="146"/>
      <c r="F2" s="176"/>
      <c r="G2" s="148">
        <f>IF(COUNTA(FEMMINE[24-mar])=0,0,COUNTA(FEMMINE[24-mar]))</f>
        <v>2</v>
      </c>
      <c r="H2" s="148">
        <f>IF(COUNTA(FEMMINE[14-apr])=0,0,COUNTA(FEMMINE[14-apr]))</f>
        <v>4</v>
      </c>
      <c r="I2" s="148">
        <f>IF(COUNTA(FEMMINE[12-mag])=0,0,COUNTA(FEMMINE[12-mag]))</f>
        <v>3</v>
      </c>
      <c r="J2" s="148">
        <f>IF(COUNTA(FEMMINE[12-giu])=0,0,COUNTA(FEMMINE[12-giu]))</f>
        <v>3</v>
      </c>
      <c r="K2" s="148">
        <f>IF(COUNTA(FEMMINE[16-giu])=0,0,COUNTA(FEMMINE[16-giu]))</f>
        <v>2</v>
      </c>
      <c r="L2" s="148">
        <f>IF(COUNTA(FEMMINE[25-giu])=0,0,COUNTA(FEMMINE[25-giu]))</f>
        <v>3</v>
      </c>
      <c r="M2" s="148">
        <f>IF(COUNTA(FEMMINE[data7])=0,0,COUNTA(FEMMINE[data7]))</f>
        <v>0</v>
      </c>
      <c r="N2" s="148">
        <f>IF(COUNTA(FEMMINE[data8])=0,0,COUNTA(FEMMINE[data8]))</f>
        <v>0</v>
      </c>
      <c r="O2" s="148">
        <f>IF(COUNTA(FEMMINE[data9])=0,0,COUNTA(FEMMINE[data9]))</f>
        <v>0</v>
      </c>
      <c r="P2" s="148">
        <f>IF(COUNTA(FEMMINE[data10])=0,0,COUNTA(FEMMINE[data10]))</f>
        <v>0</v>
      </c>
      <c r="Q2" s="148">
        <f>IF(COUNTA(FEMMINE[data11])=0,0,COUNTA(FEMMINE[data11]))</f>
        <v>0</v>
      </c>
      <c r="R2" s="148">
        <f>IF(COUNTA(FEMMINE[data12])=0,0,COUNTA(FEMMINE[data12]))</f>
        <v>0</v>
      </c>
      <c r="S2" s="148">
        <f>IF(COUNTA(FEMMINE[data13])=0,0,COUNTA(FEMMINE[data13]))</f>
        <v>0</v>
      </c>
      <c r="T2" s="148"/>
      <c r="U2" s="148"/>
      <c r="V2" s="148">
        <f>IF(COUNTA(FEMMINE[data13])=0,0,COUNTA(FEMMINE[data13]))</f>
        <v>0</v>
      </c>
      <c r="W2" s="147"/>
      <c r="X2" s="147"/>
      <c r="Y2" s="147"/>
    </row>
    <row r="3" spans="1:31" ht="9.7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>IF(H2=0,0,1)</f>
        <v>1</v>
      </c>
      <c r="I3" s="148">
        <f t="shared" ref="I3:S3" si="0">IF(I2=0,0,1)</f>
        <v>1</v>
      </c>
      <c r="J3" s="148">
        <f t="shared" si="0"/>
        <v>1</v>
      </c>
      <c r="K3" s="148">
        <f t="shared" si="0"/>
        <v>1</v>
      </c>
      <c r="L3" s="148">
        <f t="shared" si="0"/>
        <v>1</v>
      </c>
      <c r="M3" s="148">
        <f t="shared" si="0"/>
        <v>0</v>
      </c>
      <c r="N3" s="148">
        <f t="shared" si="0"/>
        <v>0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6</v>
      </c>
      <c r="U3" s="148"/>
      <c r="V3" s="148">
        <f t="shared" ref="V3" si="1">IF(V2=0,0,1)</f>
        <v>0</v>
      </c>
      <c r="W3" s="147"/>
      <c r="X3" s="147"/>
      <c r="Y3" s="147"/>
    </row>
    <row r="4" spans="1:31" ht="25.5" customHeight="1" x14ac:dyDescent="0.25">
      <c r="A4" s="260" t="s">
        <v>95</v>
      </c>
      <c r="B4" s="261"/>
      <c r="C4" s="261"/>
      <c r="D4" s="261"/>
      <c r="E4" s="262"/>
      <c r="F4" s="152"/>
      <c r="G4" s="270" t="s">
        <v>127</v>
      </c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2"/>
    </row>
    <row r="5" spans="1:31" ht="25.5" customHeight="1" x14ac:dyDescent="0.25">
      <c r="A5" s="263"/>
      <c r="B5" s="264"/>
      <c r="C5" s="264"/>
      <c r="D5" s="264"/>
      <c r="E5" s="265"/>
      <c r="F5" s="153"/>
      <c r="G5" s="273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5"/>
    </row>
    <row r="6" spans="1:31" ht="25.5" customHeight="1" x14ac:dyDescent="0.25">
      <c r="A6" s="145"/>
      <c r="B6" s="177"/>
      <c r="C6" s="177"/>
      <c r="D6" s="177"/>
      <c r="E6" s="177"/>
      <c r="F6" s="176"/>
      <c r="G6" s="36" t="s">
        <v>0</v>
      </c>
      <c r="H6" s="36" t="s">
        <v>1</v>
      </c>
      <c r="I6" s="36" t="s">
        <v>2</v>
      </c>
      <c r="J6" s="36" t="s">
        <v>3</v>
      </c>
      <c r="K6" s="36" t="s">
        <v>4</v>
      </c>
      <c r="L6" s="36" t="s">
        <v>5</v>
      </c>
      <c r="M6" s="36" t="s">
        <v>10</v>
      </c>
      <c r="N6" s="36" t="s">
        <v>11</v>
      </c>
      <c r="O6" s="36" t="s">
        <v>12</v>
      </c>
      <c r="P6" s="36" t="s">
        <v>13</v>
      </c>
      <c r="Q6" s="36" t="s">
        <v>14</v>
      </c>
      <c r="R6" s="36" t="s">
        <v>21</v>
      </c>
      <c r="S6" s="37" t="s">
        <v>25</v>
      </c>
      <c r="T6" s="268"/>
      <c r="U6" s="18"/>
      <c r="V6" s="266" t="s">
        <v>79</v>
      </c>
      <c r="W6" s="18"/>
      <c r="X6" s="250" t="s">
        <v>40</v>
      </c>
      <c r="Y6" s="251" t="s">
        <v>16</v>
      </c>
      <c r="Z6" s="20"/>
      <c r="AA6" s="20"/>
      <c r="AB6" s="20"/>
      <c r="AC6" s="20"/>
      <c r="AD6" s="20"/>
      <c r="AE6" s="20"/>
    </row>
    <row r="7" spans="1:31" s="23" customFormat="1" ht="25.5" customHeight="1" x14ac:dyDescent="0.25">
      <c r="A7" s="145"/>
      <c r="B7" s="177"/>
      <c r="C7" s="177"/>
      <c r="D7" s="177"/>
      <c r="E7" s="177"/>
      <c r="F7" s="176"/>
      <c r="G7" s="122" t="s">
        <v>110</v>
      </c>
      <c r="H7" s="122" t="s">
        <v>113</v>
      </c>
      <c r="I7" s="122" t="s">
        <v>132</v>
      </c>
      <c r="J7" s="122" t="s">
        <v>131</v>
      </c>
      <c r="K7" s="188" t="s">
        <v>128</v>
      </c>
      <c r="L7" s="122" t="s">
        <v>129</v>
      </c>
      <c r="M7" s="122" t="s">
        <v>7</v>
      </c>
      <c r="N7" s="122" t="s">
        <v>7</v>
      </c>
      <c r="O7" s="122" t="s">
        <v>7</v>
      </c>
      <c r="P7" s="122" t="s">
        <v>7</v>
      </c>
      <c r="Q7" s="122" t="s">
        <v>7</v>
      </c>
      <c r="R7" s="122" t="s">
        <v>7</v>
      </c>
      <c r="S7" s="123" t="s">
        <v>7</v>
      </c>
      <c r="T7" s="269"/>
      <c r="U7" s="19"/>
      <c r="V7" s="267"/>
      <c r="W7" s="19"/>
      <c r="X7" s="250"/>
      <c r="Y7" s="251"/>
    </row>
    <row r="8" spans="1:31" ht="25.5" customHeight="1" x14ac:dyDescent="0.25">
      <c r="A8" s="142" t="s">
        <v>37</v>
      </c>
      <c r="B8" s="143" t="s">
        <v>19</v>
      </c>
      <c r="C8" s="144" t="s">
        <v>20</v>
      </c>
      <c r="D8" s="144" t="s">
        <v>97</v>
      </c>
      <c r="E8" s="140" t="s">
        <v>98</v>
      </c>
      <c r="F8" s="144" t="s">
        <v>7</v>
      </c>
      <c r="G8" s="124" t="s">
        <v>111</v>
      </c>
      <c r="H8" s="124" t="s">
        <v>121</v>
      </c>
      <c r="I8" s="124" t="s">
        <v>134</v>
      </c>
      <c r="J8" s="124" t="s">
        <v>135</v>
      </c>
      <c r="K8" s="124" t="s">
        <v>137</v>
      </c>
      <c r="L8" s="124" t="s">
        <v>140</v>
      </c>
      <c r="M8" s="124" t="s">
        <v>27</v>
      </c>
      <c r="N8" s="124" t="s">
        <v>28</v>
      </c>
      <c r="O8" s="124" t="s">
        <v>29</v>
      </c>
      <c r="P8" s="124" t="s">
        <v>30</v>
      </c>
      <c r="Q8" s="124" t="s">
        <v>31</v>
      </c>
      <c r="R8" s="124" t="s">
        <v>32</v>
      </c>
      <c r="S8" s="125" t="s">
        <v>33</v>
      </c>
      <c r="T8" s="35" t="s">
        <v>38</v>
      </c>
      <c r="U8" s="21" t="s">
        <v>34</v>
      </c>
      <c r="V8" s="126" t="s">
        <v>39</v>
      </c>
      <c r="W8" s="22" t="s">
        <v>35</v>
      </c>
      <c r="X8" s="14" t="s">
        <v>26</v>
      </c>
      <c r="Y8" s="16" t="s">
        <v>36</v>
      </c>
      <c r="Z8" s="3"/>
    </row>
    <row r="9" spans="1:31" ht="25.5" customHeight="1" x14ac:dyDescent="0.25">
      <c r="A9" s="127">
        <f>IF(A8="Elenco",1,IF(B9="","",A8+1))</f>
        <v>1</v>
      </c>
      <c r="B9" s="10" t="s">
        <v>123</v>
      </c>
      <c r="C9" s="139">
        <v>2010</v>
      </c>
      <c r="D9" s="139" t="s">
        <v>15</v>
      </c>
      <c r="E9" s="94">
        <f>IF(COUNTA(G9:S9)+COUNTA(V9:V9)=0,"",COUNTA(G9:S9)+COUNTA(V9:V9))</f>
        <v>5</v>
      </c>
      <c r="F9" s="178" t="s">
        <v>128</v>
      </c>
      <c r="G9" s="171"/>
      <c r="H9" s="171">
        <v>2</v>
      </c>
      <c r="I9" s="171">
        <v>1</v>
      </c>
      <c r="J9" s="171">
        <v>1</v>
      </c>
      <c r="K9" s="171">
        <v>1</v>
      </c>
      <c r="L9" s="171">
        <v>3</v>
      </c>
      <c r="M9" s="171"/>
      <c r="N9" s="171"/>
      <c r="O9" s="171"/>
      <c r="P9" s="171"/>
      <c r="Q9" s="171"/>
      <c r="R9" s="171"/>
      <c r="S9" s="171"/>
      <c r="T9" s="225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447</v>
      </c>
      <c r="U9" s="174">
        <f>AVERAGE(FEMMINE[[#This Row],[24-mar]:[data13]])</f>
        <v>1.6</v>
      </c>
      <c r="V9" s="167"/>
      <c r="W9" s="168"/>
      <c r="X9" s="169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447</v>
      </c>
      <c r="Y9" s="170">
        <f>IFERROR(IF(E9=0,"",X9/E9),"")</f>
        <v>89.4</v>
      </c>
      <c r="Z9" s="3"/>
    </row>
    <row r="10" spans="1:31" ht="25.5" customHeight="1" x14ac:dyDescent="0.25">
      <c r="A10" s="127">
        <f>IF(A9="Elenco",1,IF(B10="","",A9+1))</f>
        <v>2</v>
      </c>
      <c r="B10" s="10" t="s">
        <v>118</v>
      </c>
      <c r="C10" s="139">
        <v>2011</v>
      </c>
      <c r="D10" s="139" t="s">
        <v>15</v>
      </c>
      <c r="E10" s="94">
        <f>IF(COUNTA(G10:S10)+COUNTA(V10:V10)=0,"",COUNTA(G10:S10)+COUNTA(V10:V10))</f>
        <v>5</v>
      </c>
      <c r="F10" s="186" t="s">
        <v>115</v>
      </c>
      <c r="G10" s="30">
        <v>3</v>
      </c>
      <c r="H10" s="224">
        <v>3</v>
      </c>
      <c r="I10" s="224">
        <v>3</v>
      </c>
      <c r="J10" s="30">
        <v>1</v>
      </c>
      <c r="K10" s="30"/>
      <c r="L10" s="30">
        <v>1</v>
      </c>
      <c r="M10" s="30"/>
      <c r="N10" s="30"/>
      <c r="O10" s="30"/>
      <c r="P10" s="30"/>
      <c r="Q10" s="30"/>
      <c r="R10" s="30"/>
      <c r="S10" s="30"/>
      <c r="T10" s="33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421</v>
      </c>
      <c r="U10" s="69">
        <f>AVERAGE(FEMMINE[[#This Row],[24-mar]:[data13]])</f>
        <v>2.2000000000000002</v>
      </c>
      <c r="V10" s="31"/>
      <c r="W10" s="11"/>
      <c r="X10" s="34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421</v>
      </c>
      <c r="Y10" s="15">
        <f>IFERROR(IF(E10=0,"",X10/E10),"")</f>
        <v>84.2</v>
      </c>
      <c r="Z10" s="3"/>
    </row>
    <row r="11" spans="1:31" ht="25.5" customHeight="1" x14ac:dyDescent="0.25">
      <c r="A11" s="127">
        <f>IF(A10="Elenco",1,IF(B11="","",A10+1))</f>
        <v>3</v>
      </c>
      <c r="B11" s="10" t="s">
        <v>122</v>
      </c>
      <c r="C11" s="139">
        <v>2011</v>
      </c>
      <c r="D11" s="139" t="s">
        <v>15</v>
      </c>
      <c r="E11" s="94">
        <f>IF(COUNTA(G11:S11)+COUNTA(V11:V11)=0,"",COUNTA(G11:S11)+COUNTA(V11:V11))</f>
        <v>3</v>
      </c>
      <c r="F11" s="186" t="s">
        <v>132</v>
      </c>
      <c r="G11" s="171"/>
      <c r="H11" s="172">
        <v>1</v>
      </c>
      <c r="I11" s="172">
        <v>2</v>
      </c>
      <c r="J11" s="171"/>
      <c r="K11" s="171">
        <v>2</v>
      </c>
      <c r="L11" s="171"/>
      <c r="M11" s="171"/>
      <c r="N11" s="171"/>
      <c r="O11" s="171"/>
      <c r="P11" s="171"/>
      <c r="Q11" s="171"/>
      <c r="R11" s="171"/>
      <c r="S11" s="171"/>
      <c r="T11" s="165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265</v>
      </c>
      <c r="U11" s="174">
        <f>AVERAGE(FEMMINE[[#This Row],[24-mar]:[data13]])</f>
        <v>1.6666666666666667</v>
      </c>
      <c r="V11" s="167"/>
      <c r="W11" s="168"/>
      <c r="X11" s="169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265</v>
      </c>
      <c r="Y11" s="170">
        <f>IFERROR(IF(E11=0,"",X11/E11),"")</f>
        <v>88.333333333333329</v>
      </c>
      <c r="Z11" s="3"/>
    </row>
    <row r="12" spans="1:31" ht="25.5" customHeight="1" x14ac:dyDescent="0.25">
      <c r="A12" s="127">
        <f>IF(A11="Elenco",1,IF(B12="","",A11+1))</f>
        <v>4</v>
      </c>
      <c r="B12" s="10" t="s">
        <v>117</v>
      </c>
      <c r="C12" s="139">
        <v>2011</v>
      </c>
      <c r="D12" s="139" t="s">
        <v>15</v>
      </c>
      <c r="E12" s="94">
        <f>IF(COUNTA(G12:S12)+COUNTA(V12:V12)=0,"",COUNTA(G12:S12)+COUNTA(V12:V12))</f>
        <v>2</v>
      </c>
      <c r="F12" s="178" t="s">
        <v>131</v>
      </c>
      <c r="G12" s="30">
        <v>1</v>
      </c>
      <c r="H12" s="30"/>
      <c r="I12" s="30"/>
      <c r="J12" s="30">
        <v>3</v>
      </c>
      <c r="K12" s="30"/>
      <c r="L12" s="30"/>
      <c r="M12" s="30"/>
      <c r="N12" s="30"/>
      <c r="O12" s="30"/>
      <c r="P12" s="30"/>
      <c r="Q12" s="30"/>
      <c r="R12" s="30"/>
      <c r="S12" s="30"/>
      <c r="T12" s="33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172</v>
      </c>
      <c r="U12" s="69">
        <f>AVERAGE(FEMMINE[[#This Row],[24-mar]:[data13]])</f>
        <v>2</v>
      </c>
      <c r="V12" s="31"/>
      <c r="W12" s="11"/>
      <c r="X12" s="34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172</v>
      </c>
      <c r="Y12" s="15">
        <f>IFERROR(IF(E12=0,"",X12/E12),"")</f>
        <v>86</v>
      </c>
      <c r="Z12" s="3"/>
    </row>
    <row r="13" spans="1:31" ht="25.5" customHeight="1" x14ac:dyDescent="0.25">
      <c r="A13" s="127">
        <f>IF(A12="Elenco",1,IF(B13="","",A12+1))</f>
        <v>5</v>
      </c>
      <c r="B13" s="12" t="s">
        <v>124</v>
      </c>
      <c r="C13" s="163">
        <v>2010</v>
      </c>
      <c r="D13" s="163"/>
      <c r="E13" s="94">
        <f>IF(COUNTA(G13:S13)+COUNTA(V13:V13)=0,"",COUNTA(G13:S13)+COUNTA(V13:V13))</f>
        <v>2</v>
      </c>
      <c r="F13" s="186" t="s">
        <v>115</v>
      </c>
      <c r="G13" s="171"/>
      <c r="H13" s="172">
        <v>4</v>
      </c>
      <c r="I13" s="173"/>
      <c r="J13" s="171"/>
      <c r="K13" s="171"/>
      <c r="L13" s="171">
        <v>1</v>
      </c>
      <c r="M13" s="171"/>
      <c r="N13" s="171"/>
      <c r="O13" s="171"/>
      <c r="P13" s="171"/>
      <c r="Q13" s="171"/>
      <c r="R13" s="171"/>
      <c r="S13" s="171"/>
      <c r="T13" s="165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165</v>
      </c>
      <c r="U13" s="174">
        <f>AVERAGE(FEMMINE[[#This Row],[24-mar]:[data13]])</f>
        <v>2.5</v>
      </c>
      <c r="V13" s="167"/>
      <c r="W13" s="168"/>
      <c r="X13" s="169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165</v>
      </c>
      <c r="Y13" s="170">
        <f>IFERROR(IF(E13=0,"",X13/E13),"")</f>
        <v>82.5</v>
      </c>
      <c r="Z13" s="3"/>
    </row>
    <row r="14" spans="1:31" ht="25.5" customHeight="1" x14ac:dyDescent="0.25">
      <c r="Z14" s="3"/>
    </row>
    <row r="17" spans="1:6" ht="25.5" customHeight="1" x14ac:dyDescent="0.25">
      <c r="A17" s="200" t="s">
        <v>136</v>
      </c>
    </row>
    <row r="21" spans="1:6" ht="25.5" customHeight="1" x14ac:dyDescent="0.25">
      <c r="A21" s="24"/>
      <c r="B21" s="25"/>
      <c r="F21" s="180"/>
    </row>
    <row r="22" spans="1:6" ht="25.5" customHeight="1" x14ac:dyDescent="0.25">
      <c r="A22" s="24"/>
      <c r="B22" s="25"/>
      <c r="F22" s="180"/>
    </row>
    <row r="23" spans="1:6" ht="25.5" customHeight="1" x14ac:dyDescent="0.25">
      <c r="A23" s="24"/>
      <c r="B23" s="25"/>
    </row>
    <row r="24" spans="1:6" ht="25.5" customHeight="1" x14ac:dyDescent="0.25">
      <c r="A24" s="24"/>
      <c r="B24" s="25"/>
    </row>
    <row r="25" spans="1:6" ht="25.5" customHeight="1" x14ac:dyDescent="0.25">
      <c r="A25" s="24"/>
      <c r="B25" s="25"/>
    </row>
    <row r="26" spans="1:6" ht="25.5" customHeight="1" x14ac:dyDescent="0.25">
      <c r="A26" s="24"/>
      <c r="B26" s="25"/>
    </row>
    <row r="27" spans="1:6" ht="25.5" customHeight="1" x14ac:dyDescent="0.25">
      <c r="A27" s="24"/>
      <c r="B27" s="25"/>
    </row>
    <row r="28" spans="1:6" ht="25.5" customHeight="1" x14ac:dyDescent="0.25">
      <c r="A28" s="24"/>
      <c r="B28" s="25"/>
    </row>
    <row r="29" spans="1:6" ht="25.5" customHeight="1" x14ac:dyDescent="0.25">
      <c r="A29" s="24"/>
      <c r="B29" s="25"/>
    </row>
    <row r="30" spans="1:6" ht="25.5" customHeight="1" x14ac:dyDescent="0.25">
      <c r="A30" s="24"/>
      <c r="B30" s="25"/>
    </row>
    <row r="31" spans="1:6" ht="25.5" customHeight="1" x14ac:dyDescent="0.25">
      <c r="A31" s="24"/>
      <c r="B31" s="25"/>
    </row>
    <row r="32" spans="1:6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</row>
    <row r="36" spans="1:6" ht="25.5" customHeight="1" x14ac:dyDescent="0.25">
      <c r="A36" s="24"/>
      <c r="B36" s="25"/>
    </row>
    <row r="37" spans="1:6" ht="25.5" customHeight="1" x14ac:dyDescent="0.25">
      <c r="A37" s="24"/>
      <c r="B37" s="25"/>
    </row>
    <row r="38" spans="1:6" ht="25.5" customHeight="1" x14ac:dyDescent="0.25">
      <c r="A38" s="24"/>
      <c r="B38" s="25"/>
    </row>
    <row r="39" spans="1:6" ht="25.5" customHeight="1" x14ac:dyDescent="0.25">
      <c r="A39" s="24"/>
      <c r="B39" s="25"/>
    </row>
    <row r="40" spans="1:6" ht="25.5" customHeight="1" x14ac:dyDescent="0.25">
      <c r="A40" s="24"/>
      <c r="B40" s="25"/>
    </row>
    <row r="41" spans="1:6" ht="25.5" customHeight="1" x14ac:dyDescent="0.25">
      <c r="A41" s="24"/>
      <c r="B41" s="25"/>
    </row>
    <row r="42" spans="1:6" ht="25.5" customHeight="1" x14ac:dyDescent="0.25">
      <c r="A42" s="24"/>
      <c r="B42" s="25"/>
    </row>
    <row r="43" spans="1:6" ht="25.5" customHeight="1" x14ac:dyDescent="0.25">
      <c r="A43" s="24"/>
      <c r="B43" s="25"/>
    </row>
    <row r="44" spans="1:6" ht="25.5" customHeight="1" x14ac:dyDescent="0.25">
      <c r="A44" s="24"/>
      <c r="B44" s="25"/>
    </row>
    <row r="45" spans="1:6" ht="25.5" customHeight="1" x14ac:dyDescent="0.25">
      <c r="A45" s="24"/>
      <c r="B45" s="25"/>
    </row>
    <row r="46" spans="1:6" ht="25.5" customHeight="1" x14ac:dyDescent="0.25">
      <c r="A46" s="24"/>
      <c r="B46" s="25"/>
      <c r="F46" s="180"/>
    </row>
    <row r="47" spans="1:6" ht="25.5" customHeight="1" x14ac:dyDescent="0.25">
      <c r="A47" s="24"/>
      <c r="B47" s="25"/>
      <c r="F47" s="180"/>
    </row>
    <row r="48" spans="1:6" ht="25.5" customHeight="1" x14ac:dyDescent="0.25">
      <c r="A48" s="24"/>
      <c r="B48" s="25"/>
      <c r="F48" s="180"/>
    </row>
    <row r="49" spans="1:6" ht="25.5" customHeight="1" x14ac:dyDescent="0.25">
      <c r="A49" s="24"/>
      <c r="B49" s="25"/>
      <c r="F49" s="180"/>
    </row>
    <row r="50" spans="1:6" ht="25.5" customHeight="1" x14ac:dyDescent="0.25">
      <c r="A50" s="24"/>
      <c r="B50" s="25"/>
      <c r="F50" s="180"/>
    </row>
    <row r="51" spans="1:6" ht="25.5" customHeight="1" x14ac:dyDescent="0.25">
      <c r="A51" s="24"/>
      <c r="B51" s="25"/>
      <c r="F51" s="180"/>
    </row>
    <row r="52" spans="1:6" ht="25.5" customHeight="1" x14ac:dyDescent="0.25">
      <c r="A52" s="24"/>
      <c r="B52" s="25"/>
      <c r="F52" s="180"/>
    </row>
    <row r="53" spans="1:6" ht="25.5" customHeight="1" x14ac:dyDescent="0.25">
      <c r="A53" s="24"/>
      <c r="B53" s="25"/>
      <c r="F53" s="180"/>
    </row>
    <row r="54" spans="1:6" ht="25.5" customHeight="1" x14ac:dyDescent="0.25">
      <c r="A54" s="24"/>
      <c r="B54" s="25"/>
      <c r="F54" s="180"/>
    </row>
    <row r="55" spans="1:6" ht="25.5" customHeight="1" x14ac:dyDescent="0.25">
      <c r="A55" s="24"/>
      <c r="B55" s="25"/>
      <c r="F55" s="180"/>
    </row>
    <row r="56" spans="1:6" ht="25.5" customHeight="1" x14ac:dyDescent="0.25">
      <c r="A56" s="24"/>
      <c r="B56" s="25"/>
      <c r="F56" s="180"/>
    </row>
    <row r="57" spans="1:6" ht="25.5" customHeight="1" x14ac:dyDescent="0.25">
      <c r="A57" s="24"/>
      <c r="B57" s="25"/>
      <c r="F57" s="180"/>
    </row>
    <row r="58" spans="1:6" ht="25.5" customHeight="1" x14ac:dyDescent="0.25">
      <c r="A58" s="24"/>
      <c r="B58" s="25"/>
      <c r="F58" s="180"/>
    </row>
    <row r="59" spans="1:6" ht="25.5" customHeight="1" x14ac:dyDescent="0.25">
      <c r="A59" s="24"/>
      <c r="B59" s="25"/>
      <c r="F59" s="180"/>
    </row>
    <row r="60" spans="1:6" ht="25.5" customHeight="1" x14ac:dyDescent="0.25">
      <c r="A60" s="24"/>
      <c r="B60" s="25"/>
      <c r="F60" s="180"/>
    </row>
    <row r="61" spans="1:6" ht="25.5" customHeight="1" x14ac:dyDescent="0.25">
      <c r="A61" s="24"/>
      <c r="B61" s="25"/>
      <c r="F61" s="180"/>
    </row>
    <row r="62" spans="1:6" ht="25.5" customHeight="1" x14ac:dyDescent="0.25">
      <c r="A62" s="24"/>
      <c r="B62" s="25"/>
      <c r="F62" s="180"/>
    </row>
    <row r="63" spans="1:6" ht="25.5" customHeight="1" x14ac:dyDescent="0.25">
      <c r="A63" s="24"/>
      <c r="B63" s="25"/>
      <c r="F63" s="180"/>
    </row>
    <row r="64" spans="1:6" ht="25.5" customHeight="1" x14ac:dyDescent="0.25">
      <c r="A64" s="24"/>
      <c r="B64" s="25"/>
      <c r="F64" s="180"/>
    </row>
    <row r="65" spans="1:6" ht="25.5" customHeight="1" x14ac:dyDescent="0.25">
      <c r="A65" s="24"/>
      <c r="B65" s="25"/>
      <c r="F65" s="180"/>
    </row>
    <row r="66" spans="1:6" ht="25.5" customHeight="1" x14ac:dyDescent="0.25">
      <c r="A66" s="24"/>
      <c r="B66" s="25"/>
      <c r="F66" s="180"/>
    </row>
    <row r="67" spans="1:6" ht="25.5" customHeight="1" x14ac:dyDescent="0.25">
      <c r="A67" s="24"/>
      <c r="B67" s="25"/>
      <c r="F67" s="180"/>
    </row>
    <row r="68" spans="1:6" ht="25.5" customHeight="1" x14ac:dyDescent="0.25">
      <c r="A68" s="24"/>
      <c r="B68" s="25"/>
      <c r="F68" s="180"/>
    </row>
    <row r="69" spans="1:6" ht="25.5" customHeight="1" x14ac:dyDescent="0.25">
      <c r="A69" s="24"/>
      <c r="B69" s="25"/>
      <c r="F69" s="180"/>
    </row>
    <row r="70" spans="1:6" ht="25.5" customHeight="1" x14ac:dyDescent="0.25">
      <c r="A70" s="24"/>
      <c r="B70" s="25"/>
      <c r="F70" s="180"/>
    </row>
    <row r="71" spans="1:6" ht="25.5" customHeight="1" x14ac:dyDescent="0.25">
      <c r="A71" s="24"/>
      <c r="B71" s="25"/>
      <c r="F71" s="180"/>
    </row>
    <row r="72" spans="1:6" ht="25.5" customHeight="1" x14ac:dyDescent="0.25">
      <c r="A72" s="24"/>
      <c r="B72" s="25"/>
      <c r="F72" s="180"/>
    </row>
    <row r="73" spans="1:6" ht="25.5" customHeight="1" x14ac:dyDescent="0.25">
      <c r="A73" s="24"/>
      <c r="B73" s="25"/>
      <c r="F73" s="180"/>
    </row>
    <row r="74" spans="1:6" ht="25.5" customHeight="1" x14ac:dyDescent="0.25">
      <c r="A74" s="24"/>
      <c r="B74" s="25"/>
      <c r="F74" s="180"/>
    </row>
    <row r="75" spans="1:6" ht="25.5" customHeight="1" x14ac:dyDescent="0.25">
      <c r="A75" s="24"/>
      <c r="B75" s="25"/>
      <c r="F75" s="180"/>
    </row>
    <row r="76" spans="1:6" ht="25.5" customHeight="1" x14ac:dyDescent="0.25">
      <c r="A76" s="24"/>
      <c r="B76" s="25"/>
      <c r="F76" s="180"/>
    </row>
    <row r="77" spans="1:6" ht="25.5" customHeight="1" x14ac:dyDescent="0.25">
      <c r="A77" s="24"/>
      <c r="B77" s="25"/>
      <c r="F77" s="180"/>
    </row>
    <row r="78" spans="1:6" ht="25.5" customHeight="1" x14ac:dyDescent="0.25">
      <c r="A78" s="24"/>
      <c r="B78" s="25"/>
      <c r="F78" s="180"/>
    </row>
    <row r="79" spans="1:6" ht="25.5" customHeight="1" x14ac:dyDescent="0.25">
      <c r="A79" s="24"/>
      <c r="B79" s="25"/>
      <c r="F79" s="180"/>
    </row>
    <row r="80" spans="1:6" ht="25.5" customHeight="1" x14ac:dyDescent="0.25">
      <c r="A80" s="24"/>
      <c r="B80" s="25"/>
      <c r="F80" s="180"/>
    </row>
    <row r="81" spans="1:22" ht="25.5" customHeight="1" x14ac:dyDescent="0.25">
      <c r="A81" s="24"/>
      <c r="B81" s="25"/>
      <c r="F81" s="180"/>
    </row>
    <row r="82" spans="1:22" ht="25.5" customHeight="1" x14ac:dyDescent="0.25">
      <c r="A82" s="24"/>
      <c r="B82" s="25"/>
      <c r="F82" s="180"/>
    </row>
    <row r="83" spans="1:22" ht="25.5" customHeight="1" x14ac:dyDescent="0.25">
      <c r="A83" s="24"/>
      <c r="B83" s="25"/>
      <c r="F83" s="180"/>
    </row>
    <row r="84" spans="1:22" ht="25.5" customHeight="1" x14ac:dyDescent="0.25">
      <c r="A84" s="24"/>
      <c r="B84" s="25"/>
      <c r="F84" s="180"/>
    </row>
    <row r="85" spans="1:22" ht="25.5" customHeight="1" x14ac:dyDescent="0.25">
      <c r="A85" s="24"/>
      <c r="B85" s="25"/>
      <c r="F85" s="180"/>
    </row>
    <row r="86" spans="1:22" ht="25.5" customHeight="1" x14ac:dyDescent="0.25">
      <c r="A86" s="24"/>
      <c r="B86" s="25"/>
      <c r="F86" s="180"/>
    </row>
    <row r="87" spans="1:22" ht="25.5" customHeight="1" x14ac:dyDescent="0.25">
      <c r="A87" s="24"/>
      <c r="B87" s="25"/>
      <c r="F87" s="180"/>
    </row>
    <row r="88" spans="1:22" ht="25.5" customHeight="1" x14ac:dyDescent="0.25">
      <c r="A88" s="24"/>
      <c r="B88" s="25"/>
      <c r="F88" s="180"/>
    </row>
    <row r="89" spans="1:22" ht="25.5" customHeight="1" x14ac:dyDescent="0.25">
      <c r="A89" s="24"/>
      <c r="B89" s="25"/>
      <c r="F89" s="180"/>
    </row>
    <row r="90" spans="1:22" ht="25.5" customHeight="1" x14ac:dyDescent="0.25">
      <c r="A90" s="24"/>
      <c r="B90" s="25"/>
      <c r="F90" s="180"/>
    </row>
    <row r="91" spans="1:22" ht="25.5" customHeight="1" x14ac:dyDescent="0.25">
      <c r="A91" s="24"/>
      <c r="F91" s="181"/>
      <c r="G91" s="61"/>
      <c r="H91" s="61"/>
      <c r="I91" s="61"/>
      <c r="J91" s="61"/>
      <c r="K91" s="98"/>
      <c r="L91" s="98"/>
      <c r="M91" s="98"/>
      <c r="N91" s="98"/>
      <c r="O91" s="98"/>
      <c r="P91" s="98"/>
      <c r="Q91" s="98"/>
      <c r="R91" s="98"/>
      <c r="S91" s="61"/>
      <c r="T91" s="99"/>
    </row>
    <row r="92" spans="1:22" ht="25.5" customHeight="1" x14ac:dyDescent="0.25">
      <c r="A92" s="24"/>
      <c r="F92" s="181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V92" s="96"/>
    </row>
    <row r="93" spans="1:22" ht="25.5" customHeight="1" x14ac:dyDescent="0.25">
      <c r="A93" s="24"/>
      <c r="F93" s="181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V93" s="96"/>
    </row>
    <row r="94" spans="1:22" ht="25.5" customHeight="1" x14ac:dyDescent="0.25">
      <c r="A94" s="24"/>
      <c r="F94" s="181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9"/>
      <c r="V94" s="98"/>
    </row>
    <row r="95" spans="1:22" ht="25.5" customHeight="1" x14ac:dyDescent="0.25">
      <c r="A95" s="24"/>
      <c r="V95" s="61"/>
    </row>
    <row r="96" spans="1:22" ht="25.5" customHeight="1" x14ac:dyDescent="0.25">
      <c r="A96" s="24"/>
    </row>
    <row r="97" spans="1:6" ht="25.5" customHeight="1" x14ac:dyDescent="0.25">
      <c r="A97" s="24"/>
      <c r="B97" s="100"/>
      <c r="E97" s="187"/>
    </row>
    <row r="98" spans="1:6" ht="25.5" customHeight="1" x14ac:dyDescent="0.25">
      <c r="A98" s="24"/>
      <c r="B98" s="102"/>
      <c r="C98" s="103"/>
      <c r="D98" s="103"/>
      <c r="E98" s="110"/>
      <c r="F98" s="183"/>
    </row>
    <row r="99" spans="1:6" ht="25.5" customHeight="1" x14ac:dyDescent="0.25">
      <c r="A99" s="24"/>
      <c r="B99" s="184"/>
      <c r="C99" s="106"/>
      <c r="D99" s="106"/>
      <c r="E99" s="111"/>
      <c r="F99" s="108"/>
    </row>
    <row r="100" spans="1:6" ht="25.5" customHeight="1" x14ac:dyDescent="0.25">
      <c r="A100" s="24"/>
    </row>
    <row r="101" spans="1:6" ht="25.5" customHeight="1" x14ac:dyDescent="0.25">
      <c r="A101" s="24"/>
    </row>
    <row r="102" spans="1:6" ht="25.5" customHeight="1" x14ac:dyDescent="0.25">
      <c r="A102" s="24"/>
    </row>
    <row r="103" spans="1:6" ht="25.5" customHeight="1" x14ac:dyDescent="0.25">
      <c r="A103" s="24"/>
    </row>
    <row r="104" spans="1:6" ht="25.5" customHeight="1" x14ac:dyDescent="0.25">
      <c r="A104" s="27"/>
      <c r="B104" s="184"/>
      <c r="E104" s="110"/>
      <c r="F104" s="184"/>
    </row>
    <row r="105" spans="1:6" ht="25.5" customHeight="1" x14ac:dyDescent="0.25">
      <c r="A105" s="27"/>
      <c r="B105" s="184"/>
      <c r="E105" s="110"/>
      <c r="F105" s="184"/>
    </row>
    <row r="106" spans="1:6" ht="25.5" customHeight="1" x14ac:dyDescent="0.25">
      <c r="A106" s="27"/>
      <c r="B106" s="184"/>
      <c r="E106" s="110"/>
      <c r="F106" s="184"/>
    </row>
    <row r="107" spans="1:6" ht="25.5" customHeight="1" x14ac:dyDescent="0.25">
      <c r="A107" s="27"/>
      <c r="B107" s="184"/>
      <c r="E107" s="110"/>
      <c r="F107" s="184"/>
    </row>
    <row r="108" spans="1:6" ht="25.5" customHeight="1" x14ac:dyDescent="0.25">
      <c r="A108" s="27"/>
      <c r="B108" s="184"/>
      <c r="E108" s="110"/>
      <c r="F108" s="184"/>
    </row>
    <row r="109" spans="1:6" ht="25.5" customHeight="1" x14ac:dyDescent="0.25">
      <c r="A109" s="27"/>
      <c r="B109" s="184"/>
      <c r="E109" s="110"/>
      <c r="F109" s="184"/>
    </row>
    <row r="110" spans="1:6" ht="25.5" customHeight="1" x14ac:dyDescent="0.25">
      <c r="A110" s="27"/>
      <c r="B110" s="184"/>
      <c r="E110" s="110"/>
      <c r="F110" s="184"/>
    </row>
    <row r="111" spans="1:6" ht="25.5" customHeight="1" x14ac:dyDescent="0.25">
      <c r="A111" s="27"/>
      <c r="B111" s="184"/>
      <c r="E111" s="110"/>
      <c r="F111" s="184"/>
    </row>
    <row r="112" spans="1:6" ht="25.5" customHeight="1" x14ac:dyDescent="0.25">
      <c r="A112" s="27"/>
      <c r="B112" s="184"/>
      <c r="E112" s="110"/>
      <c r="F112" s="184"/>
    </row>
    <row r="113" spans="1:6" ht="25.5" customHeight="1" x14ac:dyDescent="0.25">
      <c r="A113" s="27"/>
      <c r="B113" s="184"/>
      <c r="E113" s="110"/>
      <c r="F113" s="184"/>
    </row>
    <row r="114" spans="1:6" ht="25.5" customHeight="1" x14ac:dyDescent="0.25">
      <c r="A114" s="27"/>
      <c r="B114" s="184"/>
      <c r="E114" s="110"/>
      <c r="F114" s="184"/>
    </row>
    <row r="115" spans="1:6" ht="25.5" customHeight="1" x14ac:dyDescent="0.25">
      <c r="A115" s="27"/>
      <c r="B115" s="184"/>
      <c r="E115" s="110"/>
      <c r="F115" s="184"/>
    </row>
    <row r="116" spans="1:6" ht="25.5" customHeight="1" x14ac:dyDescent="0.25">
      <c r="A116" s="27"/>
      <c r="B116" s="184"/>
      <c r="E116" s="110"/>
      <c r="F116" s="184"/>
    </row>
    <row r="117" spans="1:6" ht="25.5" customHeight="1" x14ac:dyDescent="0.25">
      <c r="A117" s="27"/>
      <c r="B117" s="184"/>
      <c r="E117" s="110"/>
      <c r="F117" s="184"/>
    </row>
    <row r="118" spans="1:6" ht="25.5" customHeight="1" x14ac:dyDescent="0.25">
      <c r="A118" s="27"/>
      <c r="B118" s="184"/>
      <c r="E118" s="110"/>
      <c r="F118" s="184"/>
    </row>
    <row r="119" spans="1:6" ht="25.5" customHeight="1" x14ac:dyDescent="0.25">
      <c r="A119" s="27"/>
      <c r="B119" s="184"/>
      <c r="E119" s="110"/>
      <c r="F119" s="184"/>
    </row>
    <row r="120" spans="1:6" ht="25.5" customHeight="1" x14ac:dyDescent="0.25">
      <c r="A120" s="27"/>
      <c r="B120" s="184"/>
      <c r="E120" s="110"/>
      <c r="F120" s="184"/>
    </row>
    <row r="121" spans="1:6" ht="25.5" customHeight="1" x14ac:dyDescent="0.25">
      <c r="A121" s="27"/>
      <c r="B121" s="184"/>
      <c r="E121" s="110"/>
      <c r="F121" s="184"/>
    </row>
    <row r="122" spans="1:6" ht="25.5" customHeight="1" x14ac:dyDescent="0.25">
      <c r="A122" s="27"/>
      <c r="B122" s="184"/>
      <c r="E122" s="110"/>
      <c r="F122" s="184"/>
    </row>
    <row r="123" spans="1:6" ht="25.5" customHeight="1" x14ac:dyDescent="0.25">
      <c r="A123" s="27"/>
      <c r="B123" s="184"/>
      <c r="E123" s="110"/>
      <c r="F123" s="184"/>
    </row>
    <row r="124" spans="1:6" ht="25.5" customHeight="1" x14ac:dyDescent="0.25">
      <c r="A124" s="27"/>
      <c r="B124" s="184"/>
      <c r="E124" s="110"/>
      <c r="F124" s="184"/>
    </row>
    <row r="125" spans="1:6" ht="25.5" customHeight="1" x14ac:dyDescent="0.25">
      <c r="A125" s="27"/>
      <c r="B125" s="184"/>
      <c r="E125" s="110"/>
      <c r="F125" s="184"/>
    </row>
    <row r="126" spans="1:6" ht="25.5" customHeight="1" x14ac:dyDescent="0.25">
      <c r="A126" s="27"/>
      <c r="B126" s="184"/>
      <c r="E126" s="110"/>
      <c r="F126" s="184"/>
    </row>
    <row r="127" spans="1:6" ht="25.5" customHeight="1" x14ac:dyDescent="0.25">
      <c r="A127" s="27"/>
      <c r="B127" s="184"/>
      <c r="E127" s="110"/>
      <c r="F127" s="184"/>
    </row>
    <row r="128" spans="1:6" ht="25.5" customHeight="1" x14ac:dyDescent="0.25">
      <c r="A128" s="27"/>
      <c r="B128" s="184"/>
      <c r="E128" s="110"/>
      <c r="F128" s="184"/>
    </row>
    <row r="129" spans="1:6" ht="25.5" customHeight="1" x14ac:dyDescent="0.25">
      <c r="A129" s="27"/>
      <c r="B129" s="184"/>
      <c r="E129" s="110"/>
      <c r="F129" s="184"/>
    </row>
    <row r="130" spans="1:6" ht="25.5" customHeight="1" x14ac:dyDescent="0.25">
      <c r="A130" s="27"/>
      <c r="B130" s="184"/>
      <c r="E130" s="110"/>
      <c r="F130" s="184"/>
    </row>
    <row r="131" spans="1:6" ht="25.5" customHeight="1" x14ac:dyDescent="0.25">
      <c r="A131" s="27"/>
      <c r="B131" s="184"/>
      <c r="E131" s="110"/>
      <c r="F131" s="184"/>
    </row>
    <row r="132" spans="1:6" ht="25.5" customHeight="1" x14ac:dyDescent="0.25">
      <c r="A132" s="27"/>
      <c r="B132" s="184"/>
      <c r="E132" s="110"/>
      <c r="F132" s="184"/>
    </row>
    <row r="133" spans="1:6" ht="25.5" customHeight="1" x14ac:dyDescent="0.25">
      <c r="A133" s="27"/>
      <c r="B133" s="184"/>
      <c r="E133" s="110"/>
      <c r="F133" s="184"/>
    </row>
    <row r="134" spans="1:6" ht="25.5" customHeight="1" x14ac:dyDescent="0.25">
      <c r="A134" s="27"/>
      <c r="B134" s="184"/>
      <c r="E134" s="110"/>
      <c r="F134" s="184"/>
    </row>
    <row r="135" spans="1:6" ht="25.5" customHeight="1" x14ac:dyDescent="0.25">
      <c r="A135" s="27"/>
      <c r="B135" s="184"/>
      <c r="E135" s="110"/>
      <c r="F135" s="184"/>
    </row>
    <row r="136" spans="1:6" ht="25.5" customHeight="1" x14ac:dyDescent="0.25">
      <c r="A136" s="27"/>
      <c r="B136" s="184"/>
      <c r="E136" s="110"/>
      <c r="F136" s="184"/>
    </row>
    <row r="137" spans="1:6" ht="25.5" customHeight="1" x14ac:dyDescent="0.25">
      <c r="A137" s="27"/>
      <c r="B137" s="184"/>
      <c r="E137" s="110"/>
      <c r="F137" s="184"/>
    </row>
    <row r="138" spans="1:6" ht="25.5" customHeight="1" x14ac:dyDescent="0.25">
      <c r="A138" s="27"/>
      <c r="B138" s="184"/>
      <c r="E138" s="110"/>
      <c r="F138" s="184"/>
    </row>
    <row r="139" spans="1:6" ht="25.5" customHeight="1" x14ac:dyDescent="0.25">
      <c r="A139" s="27"/>
      <c r="B139" s="184"/>
      <c r="E139" s="110"/>
      <c r="F139" s="184"/>
    </row>
    <row r="140" spans="1:6" ht="25.5" customHeight="1" x14ac:dyDescent="0.25">
      <c r="A140" s="27"/>
      <c r="B140" s="184"/>
      <c r="E140" s="110"/>
      <c r="F140" s="184"/>
    </row>
    <row r="141" spans="1:6" ht="25.5" customHeight="1" x14ac:dyDescent="0.25">
      <c r="A141" s="27"/>
      <c r="B141" s="184"/>
      <c r="E141" s="110"/>
      <c r="F141" s="184"/>
    </row>
    <row r="142" spans="1:6" ht="25.5" customHeight="1" x14ac:dyDescent="0.25">
      <c r="A142" s="27"/>
      <c r="B142" s="184"/>
      <c r="E142" s="110"/>
      <c r="F142" s="184"/>
    </row>
    <row r="143" spans="1:6" ht="25.5" customHeight="1" x14ac:dyDescent="0.25">
      <c r="A143" s="27"/>
      <c r="B143" s="184"/>
      <c r="E143" s="110"/>
      <c r="F143" s="184"/>
    </row>
    <row r="144" spans="1:6" ht="25.5" customHeight="1" x14ac:dyDescent="0.25">
      <c r="A144" s="27"/>
      <c r="B144" s="184"/>
      <c r="E144" s="110"/>
      <c r="F144" s="184"/>
    </row>
    <row r="145" spans="1:6" ht="25.5" customHeight="1" x14ac:dyDescent="0.25">
      <c r="A145" s="27"/>
      <c r="B145" s="184"/>
      <c r="E145" s="110"/>
      <c r="F145" s="184"/>
    </row>
    <row r="146" spans="1:6" ht="25.5" customHeight="1" x14ac:dyDescent="0.25">
      <c r="A146" s="27"/>
      <c r="B146" s="184"/>
      <c r="E146" s="110"/>
      <c r="F146" s="184"/>
    </row>
    <row r="147" spans="1:6" ht="25.5" customHeight="1" x14ac:dyDescent="0.25">
      <c r="A147" s="27"/>
      <c r="B147" s="184"/>
      <c r="E147" s="110"/>
      <c r="F147" s="184"/>
    </row>
    <row r="148" spans="1:6" ht="25.5" customHeight="1" x14ac:dyDescent="0.25">
      <c r="A148" s="27"/>
      <c r="B148" s="184"/>
      <c r="E148" s="110"/>
      <c r="F148" s="184"/>
    </row>
    <row r="149" spans="1:6" ht="25.5" customHeight="1" x14ac:dyDescent="0.25">
      <c r="A149" s="27"/>
      <c r="B149" s="184"/>
      <c r="E149" s="110"/>
      <c r="F149" s="184"/>
    </row>
    <row r="150" spans="1:6" ht="25.5" customHeight="1" x14ac:dyDescent="0.25">
      <c r="A150" s="27"/>
      <c r="B150" s="184"/>
      <c r="E150" s="110"/>
      <c r="F150" s="184"/>
    </row>
    <row r="151" spans="1:6" ht="25.5" customHeight="1" x14ac:dyDescent="0.25">
      <c r="A151" s="27"/>
      <c r="B151" s="184"/>
      <c r="E151" s="110"/>
      <c r="F151" s="184"/>
    </row>
    <row r="152" spans="1:6" ht="25.5" customHeight="1" x14ac:dyDescent="0.25">
      <c r="A152" s="27"/>
      <c r="B152" s="184"/>
      <c r="E152" s="110"/>
      <c r="F152" s="184"/>
    </row>
    <row r="153" spans="1:6" ht="25.5" customHeight="1" x14ac:dyDescent="0.25">
      <c r="A153" s="27"/>
      <c r="B153" s="184"/>
      <c r="E153" s="110"/>
      <c r="F153" s="184"/>
    </row>
    <row r="154" spans="1:6" ht="25.5" customHeight="1" x14ac:dyDescent="0.25">
      <c r="A154" s="27"/>
      <c r="B154" s="184"/>
      <c r="E154" s="110"/>
      <c r="F154" s="184"/>
    </row>
    <row r="155" spans="1:6" ht="25.5" customHeight="1" x14ac:dyDescent="0.25">
      <c r="A155" s="27"/>
      <c r="B155" s="184"/>
      <c r="E155" s="110"/>
      <c r="F155" s="184"/>
    </row>
    <row r="156" spans="1:6" ht="25.5" customHeight="1" x14ac:dyDescent="0.25">
      <c r="A156" s="27"/>
      <c r="B156" s="184"/>
      <c r="E156" s="110"/>
      <c r="F156" s="184"/>
    </row>
    <row r="157" spans="1:6" ht="25.5" customHeight="1" x14ac:dyDescent="0.25">
      <c r="A157" s="27"/>
      <c r="B157" s="184"/>
      <c r="E157" s="110"/>
      <c r="F157" s="184"/>
    </row>
    <row r="158" spans="1:6" ht="25.5" customHeight="1" x14ac:dyDescent="0.25">
      <c r="A158" s="27"/>
      <c r="B158" s="184"/>
      <c r="E158" s="110"/>
      <c r="F158" s="184"/>
    </row>
    <row r="159" spans="1:6" ht="25.5" customHeight="1" x14ac:dyDescent="0.25">
      <c r="A159" s="27"/>
      <c r="B159" s="184"/>
      <c r="E159" s="110"/>
      <c r="F159" s="184"/>
    </row>
    <row r="160" spans="1:6" ht="25.5" customHeight="1" x14ac:dyDescent="0.25">
      <c r="A160" s="27"/>
      <c r="B160" s="184"/>
      <c r="E160" s="110"/>
      <c r="F160" s="184"/>
    </row>
    <row r="161" spans="2:6" ht="25.5" customHeight="1" x14ac:dyDescent="0.25">
      <c r="B161" s="28"/>
      <c r="C161" s="110"/>
      <c r="D161" s="110"/>
      <c r="E161" s="110"/>
      <c r="F161" s="180"/>
    </row>
    <row r="162" spans="2:6" ht="25.5" customHeight="1" x14ac:dyDescent="0.25">
      <c r="B162" s="28"/>
      <c r="C162" s="110"/>
      <c r="D162" s="110"/>
      <c r="E162" s="110"/>
      <c r="F162" s="180"/>
    </row>
    <row r="163" spans="2:6" ht="25.5" customHeight="1" x14ac:dyDescent="0.25">
      <c r="B163" s="29"/>
      <c r="C163" s="110"/>
      <c r="D163" s="110"/>
      <c r="E163" s="110"/>
      <c r="F163" s="180"/>
    </row>
    <row r="164" spans="2:6" ht="25.5" customHeight="1" x14ac:dyDescent="0.25">
      <c r="B164" s="28"/>
      <c r="C164" s="110"/>
      <c r="D164" s="110"/>
      <c r="E164" s="110"/>
      <c r="F164" s="180"/>
    </row>
    <row r="165" spans="2:6" ht="25.5" customHeight="1" x14ac:dyDescent="0.25">
      <c r="B165" s="28"/>
      <c r="C165" s="110"/>
      <c r="D165" s="110"/>
      <c r="E165" s="110"/>
      <c r="F165" s="180"/>
    </row>
    <row r="166" spans="2:6" ht="25.5" customHeight="1" x14ac:dyDescent="0.25">
      <c r="B166" s="29"/>
      <c r="C166" s="110"/>
      <c r="D166" s="110"/>
      <c r="E166" s="110"/>
      <c r="F166" s="180"/>
    </row>
    <row r="167" spans="2:6" ht="25.5" customHeight="1" x14ac:dyDescent="0.25">
      <c r="B167" s="28"/>
      <c r="C167" s="110"/>
      <c r="D167" s="110"/>
      <c r="E167" s="110"/>
      <c r="F167" s="180"/>
    </row>
    <row r="168" spans="2:6" ht="25.5" customHeight="1" x14ac:dyDescent="0.25">
      <c r="B168" s="28"/>
      <c r="C168" s="110"/>
      <c r="D168" s="110"/>
      <c r="E168" s="110"/>
      <c r="F168" s="180"/>
    </row>
    <row r="169" spans="2:6" ht="25.5" customHeight="1" x14ac:dyDescent="0.25">
      <c r="B169" s="28"/>
      <c r="C169" s="110"/>
      <c r="D169" s="110"/>
      <c r="E169" s="110"/>
      <c r="F169" s="180"/>
    </row>
    <row r="170" spans="2:6" ht="25.5" customHeight="1" x14ac:dyDescent="0.25">
      <c r="B170" s="28"/>
      <c r="C170" s="110"/>
      <c r="D170" s="110"/>
      <c r="E170" s="110"/>
      <c r="F170" s="180"/>
    </row>
    <row r="171" spans="2:6" ht="25.5" customHeight="1" x14ac:dyDescent="0.25">
      <c r="B171" s="28"/>
      <c r="C171" s="110"/>
      <c r="D171" s="110"/>
      <c r="E171" s="110"/>
      <c r="F171" s="180"/>
    </row>
  </sheetData>
  <mergeCells count="7">
    <mergeCell ref="A4:E5"/>
    <mergeCell ref="A1:Y1"/>
    <mergeCell ref="V6:V7"/>
    <mergeCell ref="T6:T7"/>
    <mergeCell ref="X6:X7"/>
    <mergeCell ref="Y6:Y7"/>
    <mergeCell ref="G4:Y5"/>
  </mergeCells>
  <conditionalFormatting sqref="G9:S9 G13:S13 G11:S11">
    <cfRule type="containsBlanks" dxfId="74" priority="3">
      <formula>LEN(TRIM(G9))=0</formula>
    </cfRule>
  </conditionalFormatting>
  <conditionalFormatting sqref="G10:S10">
    <cfRule type="containsBlanks" dxfId="73" priority="1">
      <formula>LEN(TRIM(G10))=0</formula>
    </cfRule>
  </conditionalFormatting>
  <conditionalFormatting sqref="G12:S12">
    <cfRule type="containsBlanks" dxfId="72" priority="2">
      <formula>LEN(TRIM(G12))=0</formula>
    </cfRule>
  </conditionalFormatting>
  <dataValidations count="1">
    <dataValidation type="list" allowBlank="1" showInputMessage="1" showErrorMessage="1" sqref="D9:D13">
      <formula1>CATEGORIA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4"/>
  <sheetViews>
    <sheetView zoomScale="99" zoomScaleNormal="30" workbookViewId="0">
      <selection activeCell="G4" sqref="G4:G44"/>
    </sheetView>
  </sheetViews>
  <sheetFormatPr defaultRowHeight="15" x14ac:dyDescent="0.25"/>
  <cols>
    <col min="1" max="16384" width="9.140625" style="113"/>
  </cols>
  <sheetData>
    <row r="1" spans="2:16" x14ac:dyDescent="0.25">
      <c r="F1" s="113" t="s">
        <v>44</v>
      </c>
    </row>
    <row r="2" spans="2:16" ht="15.75" x14ac:dyDescent="0.25">
      <c r="B2" s="113" t="s">
        <v>43</v>
      </c>
      <c r="F2" s="114" t="s">
        <v>46</v>
      </c>
      <c r="G2" s="115" t="s">
        <v>47</v>
      </c>
    </row>
    <row r="3" spans="2:16" ht="15.75" x14ac:dyDescent="0.25">
      <c r="C3" s="113" t="str">
        <f>""</f>
        <v/>
      </c>
      <c r="F3" s="114" t="e">
        <v>#N/A</v>
      </c>
      <c r="G3" s="115">
        <v>0</v>
      </c>
      <c r="I3" s="113">
        <v>1</v>
      </c>
      <c r="K3" s="113">
        <f>LOOKUP(I3,Tabella4[1],Tabella4[100])+LOOKUP(I4,Tabella4[1],Tabella4[100])</f>
        <v>165</v>
      </c>
      <c r="M3" s="157"/>
      <c r="O3" s="157"/>
    </row>
    <row r="4" spans="2:16" ht="15.75" x14ac:dyDescent="0.25">
      <c r="C4" s="113" t="s">
        <v>9</v>
      </c>
      <c r="F4" s="114">
        <v>1</v>
      </c>
      <c r="G4" s="115">
        <v>95</v>
      </c>
      <c r="I4" s="113">
        <v>4</v>
      </c>
      <c r="M4" s="157"/>
      <c r="N4" s="158"/>
      <c r="O4" s="157"/>
    </row>
    <row r="5" spans="2:16" ht="15.75" x14ac:dyDescent="0.25">
      <c r="C5" s="113" t="s">
        <v>15</v>
      </c>
      <c r="F5" s="116">
        <v>2</v>
      </c>
      <c r="G5" s="117">
        <v>85</v>
      </c>
      <c r="M5" s="157"/>
      <c r="N5" s="159"/>
      <c r="O5" s="157"/>
      <c r="P5" s="157"/>
    </row>
    <row r="6" spans="2:16" ht="15.75" x14ac:dyDescent="0.25">
      <c r="C6" s="113" t="s">
        <v>41</v>
      </c>
      <c r="F6" s="118">
        <v>3</v>
      </c>
      <c r="G6" s="119">
        <v>77</v>
      </c>
      <c r="M6" s="157"/>
      <c r="N6" s="159"/>
      <c r="O6" s="157"/>
      <c r="P6" s="157"/>
    </row>
    <row r="7" spans="2:16" ht="15.75" x14ac:dyDescent="0.25">
      <c r="F7" s="116">
        <v>4</v>
      </c>
      <c r="G7" s="117">
        <v>70</v>
      </c>
      <c r="M7" s="157"/>
      <c r="N7" s="159"/>
      <c r="O7" s="157"/>
      <c r="P7" s="157"/>
    </row>
    <row r="8" spans="2:16" ht="15.75" x14ac:dyDescent="0.25">
      <c r="F8" s="118">
        <v>5</v>
      </c>
      <c r="G8" s="119">
        <v>64</v>
      </c>
      <c r="M8" s="157"/>
      <c r="N8" s="159"/>
      <c r="O8" s="157"/>
      <c r="P8" s="157"/>
    </row>
    <row r="9" spans="2:16" ht="15.75" x14ac:dyDescent="0.25">
      <c r="F9" s="116">
        <v>6</v>
      </c>
      <c r="G9" s="117">
        <v>59</v>
      </c>
      <c r="M9" s="157"/>
      <c r="N9" s="159"/>
      <c r="O9" s="157"/>
      <c r="P9" s="157"/>
    </row>
    <row r="10" spans="2:16" ht="15.75" x14ac:dyDescent="0.25">
      <c r="F10" s="118">
        <v>7</v>
      </c>
      <c r="G10" s="119">
        <v>55</v>
      </c>
      <c r="M10" s="157"/>
      <c r="N10" s="159"/>
      <c r="O10" s="157"/>
      <c r="P10" s="157"/>
    </row>
    <row r="11" spans="2:16" ht="15.75" x14ac:dyDescent="0.25">
      <c r="F11" s="116">
        <v>8</v>
      </c>
      <c r="G11" s="117">
        <v>52</v>
      </c>
      <c r="M11" s="157"/>
      <c r="N11" s="159"/>
      <c r="O11" s="157"/>
      <c r="P11" s="157"/>
    </row>
    <row r="12" spans="2:16" ht="15.75" x14ac:dyDescent="0.25">
      <c r="F12" s="118">
        <v>9</v>
      </c>
      <c r="G12" s="119">
        <v>49</v>
      </c>
      <c r="M12" s="157"/>
      <c r="N12" s="159"/>
      <c r="O12" s="157"/>
      <c r="P12" s="157"/>
    </row>
    <row r="13" spans="2:16" ht="15.75" x14ac:dyDescent="0.25">
      <c r="F13" s="116">
        <v>10</v>
      </c>
      <c r="G13" s="117">
        <v>46</v>
      </c>
      <c r="M13" s="157"/>
      <c r="N13" s="159"/>
      <c r="O13" s="157"/>
      <c r="P13" s="157"/>
    </row>
    <row r="14" spans="2:16" ht="15.75" x14ac:dyDescent="0.25">
      <c r="F14" s="118">
        <v>11</v>
      </c>
      <c r="G14" s="119">
        <v>43</v>
      </c>
      <c r="M14" s="157"/>
      <c r="N14" s="159"/>
      <c r="O14" s="157"/>
      <c r="P14" s="157"/>
    </row>
    <row r="15" spans="2:16" ht="15.75" x14ac:dyDescent="0.25">
      <c r="F15" s="116">
        <v>12</v>
      </c>
      <c r="G15" s="117">
        <v>40</v>
      </c>
      <c r="M15" s="157"/>
      <c r="N15" s="159"/>
      <c r="O15" s="157"/>
      <c r="P15" s="157"/>
    </row>
    <row r="16" spans="2:16" ht="15.75" x14ac:dyDescent="0.25">
      <c r="F16" s="118">
        <v>13</v>
      </c>
      <c r="G16" s="119">
        <v>37</v>
      </c>
      <c r="M16" s="157"/>
      <c r="N16" s="159"/>
      <c r="O16" s="157"/>
      <c r="P16" s="157"/>
    </row>
    <row r="17" spans="6:16" ht="15.75" x14ac:dyDescent="0.25">
      <c r="F17" s="116">
        <v>14</v>
      </c>
      <c r="G17" s="117">
        <v>34</v>
      </c>
      <c r="M17" s="157"/>
      <c r="N17" s="159"/>
      <c r="O17" s="157"/>
      <c r="P17" s="157"/>
    </row>
    <row r="18" spans="6:16" ht="15.75" x14ac:dyDescent="0.25">
      <c r="F18" s="118">
        <v>15</v>
      </c>
      <c r="G18" s="119">
        <v>32</v>
      </c>
      <c r="M18" s="157"/>
      <c r="N18" s="159"/>
      <c r="O18" s="157"/>
      <c r="P18" s="157"/>
    </row>
    <row r="19" spans="6:16" ht="15.75" x14ac:dyDescent="0.25">
      <c r="F19" s="116">
        <v>16</v>
      </c>
      <c r="G19" s="117">
        <v>30</v>
      </c>
      <c r="M19" s="157"/>
      <c r="N19" s="159"/>
      <c r="O19" s="162"/>
      <c r="P19" s="157"/>
    </row>
    <row r="20" spans="6:16" ht="15.75" x14ac:dyDescent="0.25">
      <c r="F20" s="118">
        <v>17</v>
      </c>
      <c r="G20" s="119">
        <v>28</v>
      </c>
      <c r="M20" s="157"/>
      <c r="N20" s="159"/>
      <c r="O20" s="162"/>
      <c r="P20" s="157"/>
    </row>
    <row r="21" spans="6:16" ht="15.75" x14ac:dyDescent="0.25">
      <c r="F21" s="116">
        <v>18</v>
      </c>
      <c r="G21" s="117">
        <v>26</v>
      </c>
      <c r="M21" s="157"/>
      <c r="N21" s="159"/>
      <c r="O21" s="162"/>
      <c r="P21" s="157"/>
    </row>
    <row r="22" spans="6:16" ht="15.75" x14ac:dyDescent="0.25">
      <c r="F22" s="118">
        <v>19</v>
      </c>
      <c r="G22" s="119">
        <v>24</v>
      </c>
      <c r="M22" s="157"/>
      <c r="N22" s="159"/>
      <c r="O22" s="162"/>
      <c r="P22" s="157"/>
    </row>
    <row r="23" spans="6:16" ht="15.75" x14ac:dyDescent="0.25">
      <c r="F23" s="116">
        <v>20</v>
      </c>
      <c r="G23" s="117">
        <v>23</v>
      </c>
      <c r="M23" s="157"/>
      <c r="N23" s="159"/>
      <c r="O23" s="162"/>
      <c r="P23" s="157"/>
    </row>
    <row r="24" spans="6:16" ht="15.75" x14ac:dyDescent="0.25">
      <c r="F24" s="118">
        <v>21</v>
      </c>
      <c r="G24" s="119">
        <v>22</v>
      </c>
      <c r="M24" s="157"/>
      <c r="N24" s="159"/>
      <c r="O24" s="162"/>
      <c r="P24" s="157"/>
    </row>
    <row r="25" spans="6:16" ht="15.75" x14ac:dyDescent="0.25">
      <c r="F25" s="116">
        <v>22</v>
      </c>
      <c r="G25" s="117">
        <v>21</v>
      </c>
      <c r="M25" s="157"/>
      <c r="N25" s="159"/>
      <c r="O25" s="162"/>
      <c r="P25" s="157"/>
    </row>
    <row r="26" spans="6:16" ht="15.75" x14ac:dyDescent="0.25">
      <c r="F26" s="118">
        <v>23</v>
      </c>
      <c r="G26" s="119">
        <v>20</v>
      </c>
      <c r="M26" s="157"/>
      <c r="N26" s="159"/>
      <c r="O26" s="162"/>
      <c r="P26" s="157"/>
    </row>
    <row r="27" spans="6:16" ht="15.75" x14ac:dyDescent="0.25">
      <c r="F27" s="116">
        <v>24</v>
      </c>
      <c r="G27" s="117">
        <v>19</v>
      </c>
      <c r="M27" s="157"/>
      <c r="N27" s="159"/>
      <c r="O27" s="162"/>
      <c r="P27" s="157"/>
    </row>
    <row r="28" spans="6:16" ht="15.75" x14ac:dyDescent="0.25">
      <c r="F28" s="118">
        <v>25</v>
      </c>
      <c r="G28" s="119">
        <v>18</v>
      </c>
      <c r="M28" s="157"/>
      <c r="N28" s="159"/>
      <c r="O28" s="162"/>
      <c r="P28" s="157"/>
    </row>
    <row r="29" spans="6:16" ht="15.75" x14ac:dyDescent="0.25">
      <c r="F29" s="116">
        <v>26</v>
      </c>
      <c r="G29" s="117">
        <v>17</v>
      </c>
      <c r="M29" s="157"/>
      <c r="N29" s="159"/>
      <c r="O29" s="162"/>
      <c r="P29" s="157"/>
    </row>
    <row r="30" spans="6:16" ht="15.75" x14ac:dyDescent="0.25">
      <c r="F30" s="118">
        <v>27</v>
      </c>
      <c r="G30" s="119">
        <v>16</v>
      </c>
      <c r="M30" s="157"/>
      <c r="N30" s="159"/>
      <c r="O30" s="162"/>
      <c r="P30" s="157"/>
    </row>
    <row r="31" spans="6:16" ht="15.75" x14ac:dyDescent="0.25">
      <c r="F31" s="116">
        <v>28</v>
      </c>
      <c r="G31" s="117">
        <v>15</v>
      </c>
      <c r="M31" s="157"/>
      <c r="N31" s="159"/>
      <c r="O31" s="162"/>
      <c r="P31" s="157"/>
    </row>
    <row r="32" spans="6:16" ht="15.75" x14ac:dyDescent="0.25">
      <c r="F32" s="118">
        <v>29</v>
      </c>
      <c r="G32" s="119">
        <v>14</v>
      </c>
      <c r="M32" s="157"/>
      <c r="N32" s="159"/>
      <c r="O32" s="162"/>
      <c r="P32" s="157"/>
    </row>
    <row r="33" spans="6:16" ht="15.75" x14ac:dyDescent="0.25">
      <c r="F33" s="116">
        <v>30</v>
      </c>
      <c r="G33" s="117">
        <v>13</v>
      </c>
      <c r="M33" s="157"/>
      <c r="N33" s="159"/>
      <c r="O33" s="162"/>
      <c r="P33" s="157"/>
    </row>
    <row r="34" spans="6:16" ht="15.75" x14ac:dyDescent="0.25">
      <c r="F34" s="118">
        <v>31</v>
      </c>
      <c r="G34" s="119">
        <v>12</v>
      </c>
      <c r="M34" s="157"/>
      <c r="N34" s="159"/>
      <c r="O34" s="162"/>
      <c r="P34" s="157"/>
    </row>
    <row r="35" spans="6:16" ht="15.75" x14ac:dyDescent="0.25">
      <c r="F35" s="116">
        <v>32</v>
      </c>
      <c r="G35" s="117">
        <v>11</v>
      </c>
      <c r="M35" s="157"/>
      <c r="N35" s="159"/>
      <c r="O35" s="162"/>
      <c r="P35" s="157"/>
    </row>
    <row r="36" spans="6:16" ht="15.75" x14ac:dyDescent="0.25">
      <c r="F36" s="118">
        <v>33</v>
      </c>
      <c r="G36" s="160">
        <v>10</v>
      </c>
      <c r="M36" s="157"/>
      <c r="N36" s="159"/>
      <c r="O36" s="162"/>
      <c r="P36" s="157"/>
    </row>
    <row r="37" spans="6:16" ht="15.75" x14ac:dyDescent="0.25">
      <c r="F37" s="116">
        <v>34</v>
      </c>
      <c r="G37" s="161">
        <v>9.0500000000000007</v>
      </c>
      <c r="M37" s="157"/>
      <c r="N37" s="159"/>
      <c r="O37" s="162"/>
      <c r="P37" s="157"/>
    </row>
    <row r="38" spans="6:16" ht="15.75" x14ac:dyDescent="0.25">
      <c r="F38" s="118">
        <v>35</v>
      </c>
      <c r="G38" s="160">
        <v>8.1000000000000014</v>
      </c>
      <c r="M38" s="157"/>
      <c r="N38" s="159"/>
      <c r="O38" s="162"/>
      <c r="P38" s="157"/>
    </row>
    <row r="39" spans="6:16" ht="15.75" x14ac:dyDescent="0.25">
      <c r="F39" s="116">
        <v>36</v>
      </c>
      <c r="G39" s="161">
        <v>7.15</v>
      </c>
      <c r="M39" s="157"/>
      <c r="N39" s="159"/>
      <c r="O39" s="162"/>
      <c r="P39" s="157"/>
    </row>
    <row r="40" spans="6:16" ht="15.75" x14ac:dyDescent="0.25">
      <c r="F40" s="118">
        <v>37</v>
      </c>
      <c r="G40" s="160">
        <v>6</v>
      </c>
      <c r="M40" s="157"/>
      <c r="N40" s="159"/>
      <c r="O40" s="162"/>
      <c r="P40" s="157"/>
    </row>
    <row r="41" spans="6:16" ht="15.75" x14ac:dyDescent="0.25">
      <c r="F41" s="116">
        <v>38</v>
      </c>
      <c r="G41" s="161">
        <v>5</v>
      </c>
      <c r="M41" s="157"/>
      <c r="N41" s="159"/>
      <c r="O41" s="162"/>
      <c r="P41" s="157"/>
    </row>
    <row r="42" spans="6:16" ht="15.75" x14ac:dyDescent="0.25">
      <c r="F42" s="118">
        <v>39</v>
      </c>
      <c r="G42" s="119">
        <v>4</v>
      </c>
      <c r="M42" s="157"/>
      <c r="N42" s="159"/>
      <c r="O42" s="162"/>
      <c r="P42" s="157"/>
    </row>
    <row r="43" spans="6:16" ht="15.75" x14ac:dyDescent="0.25">
      <c r="F43" s="120">
        <v>40</v>
      </c>
      <c r="G43" s="117">
        <v>4</v>
      </c>
      <c r="M43" s="157"/>
      <c r="N43" s="159"/>
      <c r="O43" s="162"/>
      <c r="P43" s="157"/>
    </row>
    <row r="44" spans="6:16" ht="15.75" x14ac:dyDescent="0.25">
      <c r="F44" s="113" t="s">
        <v>45</v>
      </c>
      <c r="G44" s="121">
        <v>3</v>
      </c>
      <c r="M44" s="157"/>
      <c r="N44" s="159"/>
      <c r="O44" s="162"/>
      <c r="P44" s="15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0"/>
  <sheetViews>
    <sheetView zoomScale="65" zoomScaleNormal="65" workbookViewId="0">
      <selection activeCell="L7" sqref="L7"/>
    </sheetView>
  </sheetViews>
  <sheetFormatPr defaultRowHeight="25.5" customHeight="1" x14ac:dyDescent="0.25"/>
  <cols>
    <col min="1" max="1" width="10.42578125" style="17" customWidth="1"/>
    <col min="2" max="2" width="42.5703125" style="17" customWidth="1"/>
    <col min="3" max="3" width="18.85546875" style="17" bestFit="1" customWidth="1"/>
    <col min="4" max="4" width="10.7109375" style="17" customWidth="1"/>
    <col min="5" max="5" width="10.85546875" style="17" customWidth="1"/>
    <col min="6" max="6" width="21.42578125" style="17" customWidth="1"/>
    <col min="7" max="7" width="15.140625" style="17" customWidth="1"/>
    <col min="8" max="8" width="17.28515625" style="17" customWidth="1"/>
    <col min="9" max="9" width="14.85546875" style="17" customWidth="1"/>
    <col min="10" max="10" width="12.5703125" style="17" bestFit="1" customWidth="1"/>
    <col min="11" max="11" width="14.85546875" style="17" customWidth="1"/>
    <col min="12" max="12" width="16.5703125" style="17" customWidth="1"/>
    <col min="13" max="13" width="9.5703125" style="17" customWidth="1"/>
    <col min="14" max="14" width="10.28515625" style="17" customWidth="1"/>
    <col min="15" max="15" width="12.5703125" style="17" customWidth="1"/>
    <col min="16" max="16" width="13.140625" style="17" customWidth="1"/>
    <col min="17" max="17" width="10.85546875" style="17" customWidth="1"/>
    <col min="18" max="18" width="11.5703125" style="17" customWidth="1"/>
    <col min="19" max="19" width="12.85546875" style="17" customWidth="1"/>
    <col min="20" max="20" width="15" style="17" customWidth="1"/>
    <col min="21" max="21" width="4" style="17" customWidth="1"/>
    <col min="22" max="22" width="20.140625" style="17" customWidth="1"/>
    <col min="23" max="23" width="4" style="17" customWidth="1"/>
    <col min="24" max="24" width="20.140625" style="17" customWidth="1"/>
    <col min="25" max="25" width="15" style="17" customWidth="1"/>
    <col min="26" max="16384" width="9.140625" style="17"/>
  </cols>
  <sheetData>
    <row r="1" spans="1:31" ht="72.95" customHeight="1" thickBot="1" x14ac:dyDescent="0.3">
      <c r="A1" s="239" t="s">
        <v>126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1"/>
    </row>
    <row r="2" spans="1:31" ht="9.75" customHeight="1" x14ac:dyDescent="0.25">
      <c r="A2" s="146"/>
      <c r="B2" s="146"/>
      <c r="C2" s="146"/>
      <c r="D2" s="146"/>
      <c r="E2" s="146"/>
      <c r="F2" s="147"/>
      <c r="G2" s="148">
        <f>IF(COUNTA(FEMMINE7[24-mar])=0,0,COUNTA(FEMMINE7[24-mar]))</f>
        <v>1</v>
      </c>
      <c r="H2" s="148">
        <f>IF(COUNTA(FEMMINE7[14-apr])=0,0,COUNTA(FEMMINE7[14-apr]))</f>
        <v>1</v>
      </c>
      <c r="I2" s="148">
        <f>IF(COUNTA(FEMMINE7[12-mag])=0,0,COUNTA(FEMMINE7[12-mag]))</f>
        <v>1</v>
      </c>
      <c r="J2" s="148">
        <f>IF(COUNTA(FEMMINE7[12-giu])=0,0,COUNTA(FEMMINE7[12-giu]))</f>
        <v>1</v>
      </c>
      <c r="K2" s="148">
        <f>IF(COUNTA(FEMMINE7[16-giu])=0,0,COUNTA(FEMMINE7[16-giu]))</f>
        <v>1</v>
      </c>
      <c r="L2" s="148">
        <f>IF(COUNTA(FEMMINE7[25-giu])=0,0,COUNTA(FEMMINE7[25-giu]))</f>
        <v>1</v>
      </c>
      <c r="M2" s="148">
        <f>IF(COUNTA(FEMMINE7[data7])=0,0,COUNTA(FEMMINE7[data7]))</f>
        <v>0</v>
      </c>
      <c r="N2" s="148">
        <f>IF(COUNTA(FEMMINE7[data8])=0,0,COUNTA(FEMMINE7[data8]))</f>
        <v>0</v>
      </c>
      <c r="O2" s="148">
        <f>IF(COUNTA(FEMMINE7[data9])=0,0,COUNTA(FEMMINE7[data9]))</f>
        <v>0</v>
      </c>
      <c r="P2" s="148">
        <f>IF(COUNTA(FEMMINE7[data10])=0,0,COUNTA(FEMMINE7[data10]))</f>
        <v>0</v>
      </c>
      <c r="Q2" s="148">
        <f>IF(COUNTA(FEMMINE7[data11])=0,0,COUNTA(FEMMINE7[data11]))</f>
        <v>0</v>
      </c>
      <c r="R2" s="148">
        <f>IF(COUNTA(FEMMINE7[data12])=0,0,COUNTA(FEMMINE7[data12]))</f>
        <v>0</v>
      </c>
      <c r="S2" s="148">
        <f>IF(COUNTA(FEMMINE7[data13])=0,0,COUNTA(FEMMINE7[data13]))</f>
        <v>0</v>
      </c>
      <c r="T2" s="148"/>
      <c r="U2" s="148"/>
      <c r="V2" s="148">
        <f>IF(COUNTA(FEMMINE7[data13])=0,0,COUNTA(FEMMINE7[data13]))</f>
        <v>0</v>
      </c>
      <c r="W2" s="147"/>
      <c r="X2" s="147"/>
      <c r="Y2" s="147"/>
    </row>
    <row r="3" spans="1:31" ht="9.7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>IF(H2=0,0,1)</f>
        <v>1</v>
      </c>
      <c r="I3" s="148">
        <f t="shared" ref="I3:S3" si="0">IF(I2=0,0,1)</f>
        <v>1</v>
      </c>
      <c r="J3" s="148">
        <f t="shared" si="0"/>
        <v>1</v>
      </c>
      <c r="K3" s="148">
        <f t="shared" si="0"/>
        <v>1</v>
      </c>
      <c r="L3" s="148">
        <f t="shared" si="0"/>
        <v>1</v>
      </c>
      <c r="M3" s="148">
        <f t="shared" si="0"/>
        <v>0</v>
      </c>
      <c r="N3" s="148">
        <f t="shared" si="0"/>
        <v>0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6</v>
      </c>
      <c r="U3" s="148"/>
      <c r="V3" s="148">
        <f t="shared" ref="V3" si="1">IF(V2=0,0,1)</f>
        <v>0</v>
      </c>
      <c r="W3" s="147"/>
      <c r="X3" s="147"/>
      <c r="Y3" s="147"/>
    </row>
    <row r="4" spans="1:31" ht="25.5" customHeight="1" x14ac:dyDescent="0.25">
      <c r="A4" s="260" t="s">
        <v>100</v>
      </c>
      <c r="B4" s="261"/>
      <c r="C4" s="261"/>
      <c r="D4" s="261"/>
      <c r="E4" s="262"/>
      <c r="F4" s="152"/>
      <c r="G4" s="270" t="s">
        <v>127</v>
      </c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2"/>
    </row>
    <row r="5" spans="1:31" ht="25.5" customHeight="1" x14ac:dyDescent="0.25">
      <c r="A5" s="263"/>
      <c r="B5" s="264"/>
      <c r="C5" s="264"/>
      <c r="D5" s="264"/>
      <c r="E5" s="265"/>
      <c r="F5" s="153"/>
      <c r="G5" s="273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5"/>
    </row>
    <row r="6" spans="1:31" ht="25.5" customHeight="1" x14ac:dyDescent="0.25">
      <c r="A6" s="145"/>
      <c r="B6" s="145"/>
      <c r="C6" s="145"/>
      <c r="D6" s="145"/>
      <c r="E6" s="145"/>
      <c r="F6" s="147"/>
      <c r="G6" s="36" t="s">
        <v>0</v>
      </c>
      <c r="H6" s="36" t="s">
        <v>1</v>
      </c>
      <c r="I6" s="36" t="s">
        <v>2</v>
      </c>
      <c r="J6" s="36" t="s">
        <v>3</v>
      </c>
      <c r="K6" s="36" t="s">
        <v>4</v>
      </c>
      <c r="L6" s="36" t="s">
        <v>5</v>
      </c>
      <c r="M6" s="36" t="s">
        <v>10</v>
      </c>
      <c r="N6" s="36" t="s">
        <v>11</v>
      </c>
      <c r="O6" s="36" t="s">
        <v>12</v>
      </c>
      <c r="P6" s="36" t="s">
        <v>13</v>
      </c>
      <c r="Q6" s="36" t="s">
        <v>14</v>
      </c>
      <c r="R6" s="36" t="s">
        <v>21</v>
      </c>
      <c r="S6" s="37" t="s">
        <v>25</v>
      </c>
      <c r="T6" s="268"/>
      <c r="U6" s="18"/>
      <c r="V6" s="266" t="s">
        <v>79</v>
      </c>
      <c r="W6" s="18"/>
      <c r="X6" s="250" t="s">
        <v>40</v>
      </c>
      <c r="Y6" s="251" t="s">
        <v>16</v>
      </c>
      <c r="Z6" s="20"/>
      <c r="AA6" s="20"/>
      <c r="AB6" s="20"/>
      <c r="AC6" s="20"/>
      <c r="AD6" s="20"/>
      <c r="AE6" s="20"/>
    </row>
    <row r="7" spans="1:31" s="23" customFormat="1" ht="25.5" customHeight="1" x14ac:dyDescent="0.25">
      <c r="A7" s="145"/>
      <c r="B7" s="145"/>
      <c r="C7" s="145"/>
      <c r="D7" s="145"/>
      <c r="E7" s="145"/>
      <c r="F7" s="147"/>
      <c r="G7" s="188" t="s">
        <v>110</v>
      </c>
      <c r="H7" s="122" t="s">
        <v>113</v>
      </c>
      <c r="I7" s="122" t="s">
        <v>132</v>
      </c>
      <c r="J7" s="122" t="s">
        <v>131</v>
      </c>
      <c r="K7" s="188" t="s">
        <v>128</v>
      </c>
      <c r="L7" s="122" t="s">
        <v>129</v>
      </c>
      <c r="M7" s="122" t="s">
        <v>7</v>
      </c>
      <c r="N7" s="122" t="s">
        <v>7</v>
      </c>
      <c r="O7" s="122" t="s">
        <v>7</v>
      </c>
      <c r="P7" s="122" t="s">
        <v>7</v>
      </c>
      <c r="Q7" s="122" t="s">
        <v>7</v>
      </c>
      <c r="R7" s="122" t="s">
        <v>7</v>
      </c>
      <c r="S7" s="123" t="s">
        <v>7</v>
      </c>
      <c r="T7" s="269"/>
      <c r="U7" s="19"/>
      <c r="V7" s="267"/>
      <c r="W7" s="19"/>
      <c r="X7" s="250"/>
      <c r="Y7" s="251"/>
    </row>
    <row r="8" spans="1:31" ht="25.5" customHeight="1" x14ac:dyDescent="0.25">
      <c r="A8" s="142" t="s">
        <v>37</v>
      </c>
      <c r="B8" s="143" t="s">
        <v>19</v>
      </c>
      <c r="C8" s="144" t="s">
        <v>20</v>
      </c>
      <c r="D8" s="144" t="s">
        <v>97</v>
      </c>
      <c r="E8" s="140" t="s">
        <v>98</v>
      </c>
      <c r="F8" s="144" t="s">
        <v>7</v>
      </c>
      <c r="G8" s="124" t="s">
        <v>111</v>
      </c>
      <c r="H8" s="124" t="s">
        <v>121</v>
      </c>
      <c r="I8" s="124" t="s">
        <v>134</v>
      </c>
      <c r="J8" s="124" t="s">
        <v>135</v>
      </c>
      <c r="K8" s="124" t="s">
        <v>137</v>
      </c>
      <c r="L8" s="124" t="s">
        <v>140</v>
      </c>
      <c r="M8" s="124" t="s">
        <v>27</v>
      </c>
      <c r="N8" s="124" t="s">
        <v>28</v>
      </c>
      <c r="O8" s="124" t="s">
        <v>29</v>
      </c>
      <c r="P8" s="124" t="s">
        <v>30</v>
      </c>
      <c r="Q8" s="124" t="s">
        <v>31</v>
      </c>
      <c r="R8" s="124" t="s">
        <v>32</v>
      </c>
      <c r="S8" s="125" t="s">
        <v>33</v>
      </c>
      <c r="T8" s="35" t="s">
        <v>38</v>
      </c>
      <c r="U8" s="21" t="s">
        <v>34</v>
      </c>
      <c r="V8" s="126" t="s">
        <v>39</v>
      </c>
      <c r="W8" s="22" t="s">
        <v>35</v>
      </c>
      <c r="X8" s="14" t="s">
        <v>26</v>
      </c>
      <c r="Y8" s="16" t="s">
        <v>36</v>
      </c>
      <c r="Z8" s="3"/>
    </row>
    <row r="9" spans="1:31" ht="25.5" customHeight="1" x14ac:dyDescent="0.25">
      <c r="A9" s="127">
        <f t="shared" ref="A9" si="2">IF(A8="Elenco",1,IF(B9="","",A8+1))</f>
        <v>1</v>
      </c>
      <c r="B9" s="12" t="s">
        <v>119</v>
      </c>
      <c r="C9" s="139">
        <v>2012</v>
      </c>
      <c r="D9" s="139" t="s">
        <v>9</v>
      </c>
      <c r="E9" s="94">
        <v>3</v>
      </c>
      <c r="F9" s="178" t="s">
        <v>133</v>
      </c>
      <c r="G9" s="30">
        <v>1</v>
      </c>
      <c r="H9" s="30">
        <v>1</v>
      </c>
      <c r="I9" s="30">
        <v>1</v>
      </c>
      <c r="J9" s="30">
        <v>1</v>
      </c>
      <c r="K9" s="30">
        <v>1</v>
      </c>
      <c r="L9" s="30">
        <v>1</v>
      </c>
      <c r="M9" s="30"/>
      <c r="N9" s="30"/>
      <c r="O9" s="30"/>
      <c r="P9" s="30"/>
      <c r="Q9" s="30"/>
      <c r="R9" s="30"/>
      <c r="S9" s="30"/>
      <c r="T9" s="32">
        <f>IF(IF(FEMMINE7[[#This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Row],[data7]]&lt;&gt;0,LOOKUP(FEMMINE7[[#This Row],[data7]],Tabella4[1],Tabella4[100]),0)+IF(FEMMINE7[[#This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Row],[data13]],Tabella4[1],Tabella4[100]),0)=0,"",IF(FEMMINE7[[#This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Row],[data7]]&lt;&gt;0,LOOKUP(FEMMINE7[[#This Row],[data7]],Tabella4[1],Tabella4[100]),0)+IF(FEMMINE7[[#This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Row],[data13]],Tabella4[1],Tabella4[100]),0))</f>
        <v>570</v>
      </c>
      <c r="U9" s="69">
        <f>AVERAGE(FEMMINE7[[#This Row],[24-mar]:[data13]])</f>
        <v>1</v>
      </c>
      <c r="V9" s="31"/>
      <c r="W9" s="11"/>
      <c r="X9" s="3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570</v>
      </c>
      <c r="Y9" s="15">
        <f t="shared" ref="Y9" si="3">IFERROR(IF(E9=0,"",X9/E9),"")</f>
        <v>190</v>
      </c>
      <c r="Z9" s="3"/>
    </row>
    <row r="10" spans="1:31" ht="25.5" customHeight="1" x14ac:dyDescent="0.25">
      <c r="A10" s="24"/>
      <c r="B10" s="25"/>
      <c r="F10" s="2"/>
    </row>
    <row r="11" spans="1:31" ht="25.5" customHeight="1" x14ac:dyDescent="0.25">
      <c r="A11" s="24"/>
      <c r="B11" s="25"/>
      <c r="C11" s="179"/>
      <c r="F11" s="2"/>
    </row>
    <row r="12" spans="1:31" ht="25.5" customHeight="1" x14ac:dyDescent="0.25">
      <c r="A12" s="24"/>
      <c r="B12" s="25"/>
    </row>
    <row r="13" spans="1:31" ht="25.5" customHeight="1" x14ac:dyDescent="0.25">
      <c r="A13" s="24"/>
      <c r="B13" s="25"/>
    </row>
    <row r="14" spans="1:31" ht="25.5" customHeight="1" x14ac:dyDescent="0.25">
      <c r="A14" s="24"/>
      <c r="B14" s="25"/>
    </row>
    <row r="15" spans="1:31" ht="25.5" customHeight="1" x14ac:dyDescent="0.25">
      <c r="A15" s="24"/>
      <c r="B15" s="25"/>
    </row>
    <row r="16" spans="1:31" ht="25.5" customHeight="1" x14ac:dyDescent="0.25">
      <c r="A16" s="24"/>
      <c r="B16" s="25"/>
    </row>
    <row r="17" spans="1:2" ht="25.5" customHeight="1" x14ac:dyDescent="0.25">
      <c r="A17" s="24"/>
      <c r="B17" s="25"/>
    </row>
    <row r="18" spans="1:2" ht="25.5" customHeight="1" x14ac:dyDescent="0.25">
      <c r="A18" s="24"/>
      <c r="B18" s="25"/>
    </row>
    <row r="19" spans="1:2" ht="25.5" customHeight="1" x14ac:dyDescent="0.25">
      <c r="A19" s="24"/>
      <c r="B19" s="25"/>
    </row>
    <row r="20" spans="1:2" ht="25.5" customHeight="1" x14ac:dyDescent="0.25">
      <c r="A20" s="24"/>
      <c r="B20" s="25"/>
    </row>
    <row r="21" spans="1:2" ht="25.5" customHeight="1" x14ac:dyDescent="0.25">
      <c r="A21" s="24"/>
      <c r="B21" s="25"/>
    </row>
    <row r="22" spans="1:2" ht="25.5" customHeight="1" x14ac:dyDescent="0.25">
      <c r="A22" s="24"/>
      <c r="B22" s="25"/>
    </row>
    <row r="23" spans="1:2" ht="25.5" customHeight="1" x14ac:dyDescent="0.25">
      <c r="A23" s="24"/>
      <c r="B23" s="25"/>
    </row>
    <row r="24" spans="1:2" ht="25.5" customHeight="1" x14ac:dyDescent="0.25">
      <c r="A24" s="24"/>
      <c r="B24" s="25"/>
    </row>
    <row r="25" spans="1:2" ht="25.5" customHeight="1" x14ac:dyDescent="0.25">
      <c r="A25" s="24"/>
      <c r="B25" s="25"/>
    </row>
    <row r="26" spans="1:2" ht="25.5" customHeight="1" x14ac:dyDescent="0.25">
      <c r="A26" s="24"/>
      <c r="B26" s="25"/>
    </row>
    <row r="27" spans="1:2" ht="25.5" customHeight="1" x14ac:dyDescent="0.25">
      <c r="A27" s="24"/>
      <c r="B27" s="25"/>
    </row>
    <row r="28" spans="1:2" ht="25.5" customHeight="1" x14ac:dyDescent="0.25">
      <c r="A28" s="24"/>
      <c r="B28" s="25"/>
    </row>
    <row r="29" spans="1:2" ht="25.5" customHeight="1" x14ac:dyDescent="0.25">
      <c r="A29" s="24"/>
      <c r="B29" s="25"/>
    </row>
    <row r="30" spans="1:2" ht="25.5" customHeight="1" x14ac:dyDescent="0.25">
      <c r="A30" s="24"/>
      <c r="B30" s="25"/>
    </row>
    <row r="31" spans="1:2" ht="25.5" customHeight="1" x14ac:dyDescent="0.25">
      <c r="A31" s="24"/>
      <c r="B31" s="25"/>
    </row>
    <row r="32" spans="1:2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  <c r="F35" s="2"/>
    </row>
    <row r="36" spans="1:6" ht="25.5" customHeight="1" x14ac:dyDescent="0.25">
      <c r="A36" s="24"/>
      <c r="B36" s="25"/>
      <c r="F36" s="2"/>
    </row>
    <row r="37" spans="1:6" ht="25.5" customHeight="1" x14ac:dyDescent="0.25">
      <c r="A37" s="24"/>
      <c r="B37" s="25"/>
      <c r="F37" s="2"/>
    </row>
    <row r="38" spans="1:6" ht="25.5" customHeight="1" x14ac:dyDescent="0.25">
      <c r="A38" s="24"/>
      <c r="B38" s="25"/>
      <c r="F38" s="2"/>
    </row>
    <row r="39" spans="1:6" ht="25.5" customHeight="1" x14ac:dyDescent="0.25">
      <c r="A39" s="24"/>
      <c r="B39" s="25"/>
      <c r="F39" s="2"/>
    </row>
    <row r="40" spans="1:6" ht="25.5" customHeight="1" x14ac:dyDescent="0.25">
      <c r="A40" s="24"/>
      <c r="B40" s="25"/>
      <c r="F40" s="2"/>
    </row>
    <row r="41" spans="1:6" ht="25.5" customHeight="1" x14ac:dyDescent="0.25">
      <c r="A41" s="24"/>
      <c r="B41" s="25"/>
      <c r="F41" s="2"/>
    </row>
    <row r="42" spans="1:6" ht="25.5" customHeight="1" x14ac:dyDescent="0.25">
      <c r="A42" s="24"/>
      <c r="B42" s="25"/>
      <c r="F42" s="2"/>
    </row>
    <row r="43" spans="1:6" ht="25.5" customHeight="1" x14ac:dyDescent="0.25">
      <c r="A43" s="24"/>
      <c r="B43" s="25"/>
      <c r="F43" s="2"/>
    </row>
    <row r="44" spans="1:6" ht="25.5" customHeight="1" x14ac:dyDescent="0.25">
      <c r="A44" s="24"/>
      <c r="B44" s="25"/>
      <c r="F44" s="2"/>
    </row>
    <row r="45" spans="1:6" ht="25.5" customHeight="1" x14ac:dyDescent="0.25">
      <c r="A45" s="24"/>
      <c r="B45" s="25"/>
      <c r="F45" s="2"/>
    </row>
    <row r="46" spans="1:6" ht="25.5" customHeight="1" x14ac:dyDescent="0.25">
      <c r="A46" s="24"/>
      <c r="B46" s="25"/>
      <c r="F46" s="2"/>
    </row>
    <row r="47" spans="1:6" ht="25.5" customHeight="1" x14ac:dyDescent="0.25">
      <c r="A47" s="24"/>
      <c r="B47" s="25"/>
      <c r="F47" s="2"/>
    </row>
    <row r="48" spans="1:6" ht="25.5" customHeight="1" x14ac:dyDescent="0.25">
      <c r="A48" s="24"/>
      <c r="B48" s="25"/>
      <c r="F48" s="2"/>
    </row>
    <row r="49" spans="1:6" ht="25.5" customHeight="1" x14ac:dyDescent="0.25">
      <c r="A49" s="24"/>
      <c r="B49" s="25"/>
      <c r="F49" s="2"/>
    </row>
    <row r="50" spans="1:6" ht="25.5" customHeight="1" x14ac:dyDescent="0.25">
      <c r="A50" s="24"/>
      <c r="B50" s="25"/>
      <c r="F50" s="2"/>
    </row>
    <row r="51" spans="1:6" ht="25.5" customHeight="1" x14ac:dyDescent="0.25">
      <c r="A51" s="24"/>
      <c r="B51" s="25"/>
      <c r="F51" s="2"/>
    </row>
    <row r="52" spans="1:6" ht="25.5" customHeight="1" x14ac:dyDescent="0.25">
      <c r="A52" s="24"/>
      <c r="B52" s="25"/>
      <c r="F52" s="2"/>
    </row>
    <row r="53" spans="1:6" ht="25.5" customHeight="1" x14ac:dyDescent="0.25">
      <c r="A53" s="24"/>
      <c r="B53" s="25"/>
      <c r="F53" s="2"/>
    </row>
    <row r="54" spans="1:6" ht="25.5" customHeight="1" x14ac:dyDescent="0.25">
      <c r="A54" s="24"/>
      <c r="B54" s="25"/>
      <c r="F54" s="2"/>
    </row>
    <row r="55" spans="1:6" ht="25.5" customHeight="1" x14ac:dyDescent="0.25">
      <c r="A55" s="24"/>
      <c r="B55" s="25"/>
      <c r="F55" s="2"/>
    </row>
    <row r="56" spans="1:6" ht="25.5" customHeight="1" x14ac:dyDescent="0.25">
      <c r="A56" s="24"/>
      <c r="B56" s="25"/>
      <c r="F56" s="2"/>
    </row>
    <row r="57" spans="1:6" ht="25.5" customHeight="1" x14ac:dyDescent="0.25">
      <c r="A57" s="24"/>
      <c r="B57" s="25"/>
      <c r="F57" s="2"/>
    </row>
    <row r="58" spans="1:6" ht="25.5" customHeight="1" x14ac:dyDescent="0.25">
      <c r="A58" s="24"/>
      <c r="B58" s="25"/>
      <c r="F58" s="2"/>
    </row>
    <row r="59" spans="1:6" ht="25.5" customHeight="1" x14ac:dyDescent="0.25">
      <c r="A59" s="24"/>
      <c r="B59" s="25"/>
      <c r="F59" s="2"/>
    </row>
    <row r="60" spans="1:6" ht="25.5" customHeight="1" x14ac:dyDescent="0.25">
      <c r="A60" s="24"/>
      <c r="B60" s="25"/>
      <c r="F60" s="2"/>
    </row>
    <row r="61" spans="1:6" ht="25.5" customHeight="1" x14ac:dyDescent="0.25">
      <c r="A61" s="24"/>
      <c r="B61" s="25"/>
      <c r="F61" s="2"/>
    </row>
    <row r="62" spans="1:6" ht="25.5" customHeight="1" x14ac:dyDescent="0.25">
      <c r="A62" s="24"/>
      <c r="B62" s="25"/>
      <c r="F62" s="2"/>
    </row>
    <row r="63" spans="1:6" ht="25.5" customHeight="1" x14ac:dyDescent="0.25">
      <c r="A63" s="24"/>
      <c r="B63" s="25"/>
      <c r="F63" s="2"/>
    </row>
    <row r="64" spans="1:6" ht="25.5" customHeight="1" x14ac:dyDescent="0.25">
      <c r="A64" s="24"/>
      <c r="B64" s="25"/>
      <c r="F64" s="2"/>
    </row>
    <row r="65" spans="1:20" ht="25.5" customHeight="1" x14ac:dyDescent="0.25">
      <c r="A65" s="24"/>
      <c r="B65" s="25"/>
      <c r="F65" s="2"/>
    </row>
    <row r="66" spans="1:20" ht="25.5" customHeight="1" x14ac:dyDescent="0.25">
      <c r="A66" s="24"/>
      <c r="B66" s="25"/>
      <c r="F66" s="2"/>
    </row>
    <row r="67" spans="1:20" ht="25.5" customHeight="1" x14ac:dyDescent="0.25">
      <c r="A67" s="24"/>
      <c r="B67" s="25"/>
      <c r="F67" s="2"/>
    </row>
    <row r="68" spans="1:20" ht="25.5" customHeight="1" x14ac:dyDescent="0.25">
      <c r="A68" s="24"/>
      <c r="B68" s="25"/>
      <c r="F68" s="2"/>
    </row>
    <row r="69" spans="1:20" ht="25.5" customHeight="1" x14ac:dyDescent="0.25">
      <c r="A69" s="24"/>
      <c r="B69" s="25"/>
      <c r="F69" s="2"/>
    </row>
    <row r="70" spans="1:20" ht="25.5" customHeight="1" x14ac:dyDescent="0.25">
      <c r="A70" s="24"/>
      <c r="B70" s="25"/>
      <c r="F70" s="2"/>
    </row>
    <row r="71" spans="1:20" ht="25.5" customHeight="1" x14ac:dyDescent="0.25">
      <c r="A71" s="24"/>
      <c r="B71" s="25"/>
      <c r="F71" s="2"/>
    </row>
    <row r="72" spans="1:20" ht="25.5" customHeight="1" x14ac:dyDescent="0.25">
      <c r="A72" s="24"/>
      <c r="B72" s="25"/>
      <c r="F72" s="2"/>
    </row>
    <row r="73" spans="1:20" ht="25.5" customHeight="1" x14ac:dyDescent="0.25">
      <c r="A73" s="24"/>
      <c r="B73" s="25"/>
      <c r="F73" s="2"/>
    </row>
    <row r="74" spans="1:20" ht="25.5" customHeight="1" x14ac:dyDescent="0.25">
      <c r="A74" s="24"/>
      <c r="B74" s="25"/>
      <c r="F74" s="2"/>
    </row>
    <row r="75" spans="1:20" ht="25.5" customHeight="1" x14ac:dyDescent="0.25">
      <c r="A75" s="24"/>
      <c r="B75" s="25"/>
      <c r="F75" s="2"/>
    </row>
    <row r="76" spans="1:20" ht="25.5" customHeight="1" x14ac:dyDescent="0.25">
      <c r="A76" s="24"/>
      <c r="B76" s="25"/>
      <c r="F76" s="2"/>
    </row>
    <row r="77" spans="1:20" ht="25.5" customHeight="1" x14ac:dyDescent="0.25">
      <c r="A77" s="24"/>
      <c r="B77" s="25"/>
      <c r="F77" s="2"/>
    </row>
    <row r="78" spans="1:20" ht="25.5" customHeight="1" x14ac:dyDescent="0.25">
      <c r="A78" s="24"/>
      <c r="B78" s="25"/>
      <c r="F78" s="2"/>
    </row>
    <row r="79" spans="1:20" ht="25.5" customHeight="1" x14ac:dyDescent="0.25">
      <c r="A79" s="24"/>
      <c r="B79" s="25"/>
      <c r="F79" s="2"/>
    </row>
    <row r="80" spans="1:20" ht="25.5" customHeight="1" x14ac:dyDescent="0.25">
      <c r="A80" s="24"/>
      <c r="F80" s="97"/>
      <c r="G80" s="61"/>
      <c r="H80" s="61"/>
      <c r="I80" s="61"/>
      <c r="J80" s="61"/>
      <c r="K80" s="98"/>
      <c r="L80" s="98"/>
      <c r="M80" s="98"/>
      <c r="N80" s="98"/>
      <c r="O80" s="98"/>
      <c r="P80" s="98"/>
      <c r="Q80" s="98"/>
      <c r="R80" s="98"/>
      <c r="S80" s="61"/>
      <c r="T80" s="99"/>
    </row>
    <row r="81" spans="1:22" ht="25.5" customHeight="1" x14ac:dyDescent="0.25">
      <c r="A81" s="24"/>
      <c r="F81" s="97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V81" s="96"/>
    </row>
    <row r="82" spans="1:22" ht="25.5" customHeight="1" x14ac:dyDescent="0.25">
      <c r="A82" s="24"/>
      <c r="F82" s="97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V82" s="96"/>
    </row>
    <row r="83" spans="1:22" ht="25.5" customHeight="1" x14ac:dyDescent="0.25">
      <c r="A83" s="24"/>
      <c r="F83" s="97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9"/>
      <c r="V83" s="98"/>
    </row>
    <row r="84" spans="1:22" ht="25.5" customHeight="1" x14ac:dyDescent="0.25">
      <c r="A84" s="24"/>
      <c r="V84" s="61"/>
    </row>
    <row r="85" spans="1:22" ht="25.5" customHeight="1" x14ac:dyDescent="0.25">
      <c r="A85" s="24"/>
    </row>
    <row r="86" spans="1:22" ht="25.5" customHeight="1" x14ac:dyDescent="0.25">
      <c r="A86" s="24"/>
      <c r="B86" s="100"/>
      <c r="C86" s="101"/>
      <c r="D86" s="101"/>
      <c r="E86" s="109"/>
      <c r="F86" s="101"/>
    </row>
    <row r="87" spans="1:22" ht="25.5" customHeight="1" x14ac:dyDescent="0.25">
      <c r="A87" s="24"/>
      <c r="B87" s="102"/>
      <c r="C87" s="103"/>
      <c r="D87" s="103"/>
      <c r="E87" s="110"/>
      <c r="F87" s="105"/>
    </row>
    <row r="88" spans="1:22" ht="25.5" customHeight="1" x14ac:dyDescent="0.25">
      <c r="A88" s="24"/>
      <c r="B88" s="26"/>
      <c r="C88" s="106"/>
      <c r="D88" s="106"/>
      <c r="E88" s="111"/>
      <c r="F88" s="108"/>
    </row>
    <row r="89" spans="1:22" ht="25.5" customHeight="1" x14ac:dyDescent="0.25">
      <c r="A89" s="24"/>
    </row>
    <row r="90" spans="1:22" ht="25.5" customHeight="1" x14ac:dyDescent="0.25">
      <c r="A90" s="24"/>
    </row>
    <row r="91" spans="1:22" ht="25.5" customHeight="1" x14ac:dyDescent="0.25">
      <c r="A91" s="24"/>
    </row>
    <row r="92" spans="1:22" ht="25.5" customHeight="1" x14ac:dyDescent="0.25">
      <c r="A92" s="24"/>
    </row>
    <row r="93" spans="1:22" ht="25.5" customHeight="1" x14ac:dyDescent="0.25">
      <c r="A93" s="27"/>
      <c r="B93" s="26"/>
      <c r="E93" s="9"/>
      <c r="F93" s="26"/>
    </row>
    <row r="94" spans="1:22" ht="25.5" customHeight="1" x14ac:dyDescent="0.25">
      <c r="A94" s="27"/>
      <c r="B94" s="26"/>
      <c r="E94" s="9"/>
      <c r="F94" s="26"/>
    </row>
    <row r="95" spans="1:22" ht="25.5" customHeight="1" x14ac:dyDescent="0.25">
      <c r="A95" s="27"/>
      <c r="B95" s="26"/>
      <c r="E95" s="9"/>
      <c r="F95" s="26"/>
    </row>
    <row r="96" spans="1:22" ht="25.5" customHeight="1" x14ac:dyDescent="0.25">
      <c r="A96" s="27"/>
      <c r="B96" s="26"/>
      <c r="E96" s="9"/>
      <c r="F96" s="26"/>
    </row>
    <row r="97" spans="1:6" ht="25.5" customHeight="1" x14ac:dyDescent="0.25">
      <c r="A97" s="27"/>
      <c r="B97" s="26"/>
      <c r="E97" s="9"/>
      <c r="F97" s="26"/>
    </row>
    <row r="98" spans="1:6" ht="25.5" customHeight="1" x14ac:dyDescent="0.25">
      <c r="A98" s="27"/>
      <c r="B98" s="26"/>
      <c r="E98" s="9"/>
      <c r="F98" s="26"/>
    </row>
    <row r="99" spans="1:6" ht="25.5" customHeight="1" x14ac:dyDescent="0.25">
      <c r="A99" s="27"/>
      <c r="B99" s="26"/>
      <c r="E99" s="9"/>
      <c r="F99" s="26"/>
    </row>
    <row r="100" spans="1:6" ht="25.5" customHeight="1" x14ac:dyDescent="0.25">
      <c r="A100" s="27"/>
      <c r="B100" s="26"/>
      <c r="E100" s="9"/>
      <c r="F100" s="26"/>
    </row>
    <row r="101" spans="1:6" ht="25.5" customHeight="1" x14ac:dyDescent="0.25">
      <c r="A101" s="27"/>
      <c r="B101" s="26"/>
      <c r="E101" s="9"/>
      <c r="F101" s="26"/>
    </row>
    <row r="102" spans="1:6" ht="25.5" customHeight="1" x14ac:dyDescent="0.25">
      <c r="A102" s="27"/>
      <c r="B102" s="26"/>
      <c r="E102" s="9"/>
      <c r="F102" s="26"/>
    </row>
    <row r="103" spans="1:6" ht="25.5" customHeight="1" x14ac:dyDescent="0.25">
      <c r="A103" s="27"/>
      <c r="B103" s="26"/>
      <c r="E103" s="9"/>
      <c r="F103" s="26"/>
    </row>
    <row r="104" spans="1:6" ht="25.5" customHeight="1" x14ac:dyDescent="0.25">
      <c r="A104" s="27"/>
      <c r="B104" s="26"/>
      <c r="E104" s="9"/>
      <c r="F104" s="26"/>
    </row>
    <row r="105" spans="1:6" ht="25.5" customHeight="1" x14ac:dyDescent="0.25">
      <c r="A105" s="27"/>
      <c r="B105" s="26"/>
      <c r="E105" s="9"/>
      <c r="F105" s="26"/>
    </row>
    <row r="106" spans="1:6" ht="25.5" customHeight="1" x14ac:dyDescent="0.25">
      <c r="A106" s="27"/>
      <c r="B106" s="26"/>
      <c r="E106" s="9"/>
      <c r="F106" s="26"/>
    </row>
    <row r="107" spans="1:6" ht="25.5" customHeight="1" x14ac:dyDescent="0.25">
      <c r="A107" s="27"/>
      <c r="B107" s="26"/>
      <c r="E107" s="9"/>
      <c r="F107" s="26"/>
    </row>
    <row r="108" spans="1:6" ht="25.5" customHeight="1" x14ac:dyDescent="0.25">
      <c r="A108" s="27"/>
      <c r="B108" s="26"/>
      <c r="E108" s="9"/>
      <c r="F108" s="26"/>
    </row>
    <row r="109" spans="1:6" ht="25.5" customHeight="1" x14ac:dyDescent="0.25">
      <c r="A109" s="27"/>
      <c r="B109" s="26"/>
      <c r="E109" s="9"/>
      <c r="F109" s="26"/>
    </row>
    <row r="110" spans="1:6" ht="25.5" customHeight="1" x14ac:dyDescent="0.25">
      <c r="A110" s="27"/>
      <c r="B110" s="26"/>
      <c r="E110" s="9"/>
      <c r="F110" s="26"/>
    </row>
    <row r="111" spans="1:6" ht="25.5" customHeight="1" x14ac:dyDescent="0.25">
      <c r="A111" s="27"/>
      <c r="B111" s="26"/>
      <c r="E111" s="9"/>
      <c r="F111" s="26"/>
    </row>
    <row r="112" spans="1:6" ht="25.5" customHeight="1" x14ac:dyDescent="0.25">
      <c r="A112" s="27"/>
      <c r="B112" s="26"/>
      <c r="E112" s="9"/>
      <c r="F112" s="26"/>
    </row>
    <row r="113" spans="1:6" ht="25.5" customHeight="1" x14ac:dyDescent="0.25">
      <c r="A113" s="27"/>
      <c r="B113" s="26"/>
      <c r="E113" s="9"/>
      <c r="F113" s="26"/>
    </row>
    <row r="114" spans="1:6" ht="25.5" customHeight="1" x14ac:dyDescent="0.25">
      <c r="A114" s="27"/>
      <c r="B114" s="26"/>
      <c r="E114" s="9"/>
      <c r="F114" s="26"/>
    </row>
    <row r="115" spans="1:6" ht="25.5" customHeight="1" x14ac:dyDescent="0.25">
      <c r="A115" s="27"/>
      <c r="B115" s="26"/>
      <c r="E115" s="9"/>
      <c r="F115" s="26"/>
    </row>
    <row r="116" spans="1:6" ht="25.5" customHeight="1" x14ac:dyDescent="0.25">
      <c r="A116" s="27"/>
      <c r="B116" s="26"/>
      <c r="E116" s="9"/>
      <c r="F116" s="26"/>
    </row>
    <row r="117" spans="1:6" ht="25.5" customHeight="1" x14ac:dyDescent="0.25">
      <c r="A117" s="27"/>
      <c r="B117" s="26"/>
      <c r="E117" s="9"/>
      <c r="F117" s="26"/>
    </row>
    <row r="118" spans="1:6" ht="25.5" customHeight="1" x14ac:dyDescent="0.25">
      <c r="A118" s="27"/>
      <c r="B118" s="26"/>
      <c r="E118" s="9"/>
      <c r="F118" s="26"/>
    </row>
    <row r="119" spans="1:6" ht="25.5" customHeight="1" x14ac:dyDescent="0.25">
      <c r="A119" s="27"/>
      <c r="B119" s="26"/>
      <c r="E119" s="9"/>
      <c r="F119" s="26"/>
    </row>
    <row r="120" spans="1:6" ht="25.5" customHeight="1" x14ac:dyDescent="0.25">
      <c r="A120" s="27"/>
      <c r="B120" s="26"/>
      <c r="E120" s="9"/>
      <c r="F120" s="26"/>
    </row>
    <row r="121" spans="1:6" ht="25.5" customHeight="1" x14ac:dyDescent="0.25">
      <c r="A121" s="27"/>
      <c r="B121" s="26"/>
      <c r="E121" s="9"/>
      <c r="F121" s="26"/>
    </row>
    <row r="122" spans="1:6" ht="25.5" customHeight="1" x14ac:dyDescent="0.25">
      <c r="A122" s="27"/>
      <c r="B122" s="26"/>
      <c r="E122" s="9"/>
      <c r="F122" s="26"/>
    </row>
    <row r="123" spans="1:6" ht="25.5" customHeight="1" x14ac:dyDescent="0.25">
      <c r="A123" s="27"/>
      <c r="B123" s="26"/>
      <c r="E123" s="9"/>
      <c r="F123" s="26"/>
    </row>
    <row r="124" spans="1:6" ht="25.5" customHeight="1" x14ac:dyDescent="0.25">
      <c r="A124" s="27"/>
      <c r="B124" s="26"/>
      <c r="E124" s="9"/>
      <c r="F124" s="26"/>
    </row>
    <row r="125" spans="1:6" ht="25.5" customHeight="1" x14ac:dyDescent="0.25">
      <c r="A125" s="27"/>
      <c r="B125" s="26"/>
      <c r="E125" s="9"/>
      <c r="F125" s="26"/>
    </row>
    <row r="126" spans="1:6" ht="25.5" customHeight="1" x14ac:dyDescent="0.25">
      <c r="A126" s="27"/>
      <c r="B126" s="26"/>
      <c r="E126" s="9"/>
      <c r="F126" s="26"/>
    </row>
    <row r="127" spans="1:6" ht="25.5" customHeight="1" x14ac:dyDescent="0.25">
      <c r="A127" s="27"/>
      <c r="B127" s="26"/>
      <c r="E127" s="9"/>
      <c r="F127" s="26"/>
    </row>
    <row r="128" spans="1:6" ht="25.5" customHeight="1" x14ac:dyDescent="0.25">
      <c r="A128" s="27"/>
      <c r="B128" s="26"/>
      <c r="E128" s="9"/>
      <c r="F128" s="26"/>
    </row>
    <row r="129" spans="1:6" ht="25.5" customHeight="1" x14ac:dyDescent="0.25">
      <c r="A129" s="27"/>
      <c r="B129" s="26"/>
      <c r="E129" s="9"/>
      <c r="F129" s="26"/>
    </row>
    <row r="130" spans="1:6" ht="25.5" customHeight="1" x14ac:dyDescent="0.25">
      <c r="A130" s="27"/>
      <c r="B130" s="26"/>
      <c r="E130" s="9"/>
      <c r="F130" s="26"/>
    </row>
    <row r="131" spans="1:6" ht="25.5" customHeight="1" x14ac:dyDescent="0.25">
      <c r="A131" s="27"/>
      <c r="B131" s="26"/>
      <c r="E131" s="9"/>
      <c r="F131" s="26"/>
    </row>
    <row r="132" spans="1:6" ht="25.5" customHeight="1" x14ac:dyDescent="0.25">
      <c r="A132" s="27"/>
      <c r="B132" s="26"/>
      <c r="E132" s="9"/>
      <c r="F132" s="26"/>
    </row>
    <row r="133" spans="1:6" ht="25.5" customHeight="1" x14ac:dyDescent="0.25">
      <c r="A133" s="27"/>
      <c r="B133" s="26"/>
      <c r="E133" s="9"/>
      <c r="F133" s="26"/>
    </row>
    <row r="134" spans="1:6" ht="25.5" customHeight="1" x14ac:dyDescent="0.25">
      <c r="A134" s="27"/>
      <c r="B134" s="26"/>
      <c r="E134" s="9"/>
      <c r="F134" s="26"/>
    </row>
    <row r="135" spans="1:6" ht="25.5" customHeight="1" x14ac:dyDescent="0.25">
      <c r="A135" s="27"/>
      <c r="B135" s="26"/>
      <c r="E135" s="9"/>
      <c r="F135" s="26"/>
    </row>
    <row r="136" spans="1:6" ht="25.5" customHeight="1" x14ac:dyDescent="0.25">
      <c r="A136" s="27"/>
      <c r="B136" s="26"/>
      <c r="E136" s="9"/>
      <c r="F136" s="26"/>
    </row>
    <row r="137" spans="1:6" ht="25.5" customHeight="1" x14ac:dyDescent="0.25">
      <c r="A137" s="27"/>
      <c r="B137" s="26"/>
      <c r="E137" s="9"/>
      <c r="F137" s="26"/>
    </row>
    <row r="138" spans="1:6" ht="25.5" customHeight="1" x14ac:dyDescent="0.25">
      <c r="A138" s="27"/>
      <c r="B138" s="26"/>
      <c r="E138" s="9"/>
      <c r="F138" s="26"/>
    </row>
    <row r="139" spans="1:6" ht="25.5" customHeight="1" x14ac:dyDescent="0.25">
      <c r="A139" s="27"/>
      <c r="B139" s="26"/>
      <c r="E139" s="9"/>
      <c r="F139" s="26"/>
    </row>
    <row r="140" spans="1:6" ht="25.5" customHeight="1" x14ac:dyDescent="0.25">
      <c r="A140" s="27"/>
      <c r="B140" s="26"/>
      <c r="E140" s="9"/>
      <c r="F140" s="26"/>
    </row>
    <row r="141" spans="1:6" ht="25.5" customHeight="1" x14ac:dyDescent="0.25">
      <c r="A141" s="27"/>
      <c r="B141" s="26"/>
      <c r="E141" s="9"/>
      <c r="F141" s="26"/>
    </row>
    <row r="142" spans="1:6" ht="25.5" customHeight="1" x14ac:dyDescent="0.25">
      <c r="A142" s="27"/>
      <c r="B142" s="26"/>
      <c r="E142" s="9"/>
      <c r="F142" s="26"/>
    </row>
    <row r="143" spans="1:6" ht="25.5" customHeight="1" x14ac:dyDescent="0.25">
      <c r="A143" s="27"/>
      <c r="B143" s="26"/>
      <c r="E143" s="9"/>
      <c r="F143" s="26"/>
    </row>
    <row r="144" spans="1:6" ht="25.5" customHeight="1" x14ac:dyDescent="0.25">
      <c r="A144" s="27"/>
      <c r="B144" s="26"/>
      <c r="E144" s="9"/>
      <c r="F144" s="26"/>
    </row>
    <row r="145" spans="1:6" ht="25.5" customHeight="1" x14ac:dyDescent="0.25">
      <c r="A145" s="27"/>
      <c r="B145" s="26"/>
      <c r="E145" s="9"/>
      <c r="F145" s="26"/>
    </row>
    <row r="146" spans="1:6" ht="25.5" customHeight="1" x14ac:dyDescent="0.25">
      <c r="A146" s="27"/>
      <c r="B146" s="26"/>
      <c r="E146" s="9"/>
      <c r="F146" s="26"/>
    </row>
    <row r="147" spans="1:6" ht="25.5" customHeight="1" x14ac:dyDescent="0.25">
      <c r="A147" s="27"/>
      <c r="B147" s="26"/>
      <c r="E147" s="9"/>
      <c r="F147" s="26"/>
    </row>
    <row r="148" spans="1:6" ht="25.5" customHeight="1" x14ac:dyDescent="0.25">
      <c r="A148" s="27"/>
      <c r="B148" s="26"/>
      <c r="E148" s="9"/>
      <c r="F148" s="26"/>
    </row>
    <row r="149" spans="1:6" ht="25.5" customHeight="1" x14ac:dyDescent="0.25">
      <c r="A149" s="27"/>
      <c r="B149" s="26"/>
      <c r="E149" s="9"/>
      <c r="F149" s="26"/>
    </row>
    <row r="150" spans="1:6" ht="25.5" customHeight="1" x14ac:dyDescent="0.25">
      <c r="B150" s="28"/>
      <c r="C150" s="9"/>
      <c r="D150" s="9"/>
      <c r="E150" s="9"/>
      <c r="F150" s="2"/>
    </row>
    <row r="151" spans="1:6" ht="25.5" customHeight="1" x14ac:dyDescent="0.25">
      <c r="B151" s="28"/>
      <c r="C151" s="9"/>
      <c r="D151" s="9"/>
      <c r="E151" s="9"/>
      <c r="F151" s="2"/>
    </row>
    <row r="152" spans="1:6" ht="25.5" customHeight="1" x14ac:dyDescent="0.25">
      <c r="B152" s="29"/>
      <c r="C152" s="9"/>
      <c r="D152" s="9"/>
      <c r="E152" s="9"/>
      <c r="F152" s="2"/>
    </row>
    <row r="153" spans="1:6" ht="25.5" customHeight="1" x14ac:dyDescent="0.25">
      <c r="B153" s="28"/>
      <c r="C153" s="9"/>
      <c r="D153" s="9"/>
      <c r="E153" s="9"/>
      <c r="F153" s="2"/>
    </row>
    <row r="154" spans="1:6" ht="25.5" customHeight="1" x14ac:dyDescent="0.25">
      <c r="B154" s="28"/>
      <c r="C154" s="9"/>
      <c r="D154" s="9"/>
      <c r="E154" s="9"/>
      <c r="F154" s="2"/>
    </row>
    <row r="155" spans="1:6" ht="25.5" customHeight="1" x14ac:dyDescent="0.25">
      <c r="B155" s="29"/>
      <c r="C155" s="9"/>
      <c r="D155" s="9"/>
      <c r="E155" s="9"/>
      <c r="F155" s="2"/>
    </row>
    <row r="156" spans="1:6" ht="25.5" customHeight="1" x14ac:dyDescent="0.25">
      <c r="B156" s="28"/>
      <c r="C156" s="9"/>
      <c r="D156" s="9"/>
      <c r="E156" s="9"/>
      <c r="F156" s="2"/>
    </row>
    <row r="157" spans="1:6" ht="25.5" customHeight="1" x14ac:dyDescent="0.25">
      <c r="B157" s="28"/>
      <c r="C157" s="9"/>
      <c r="D157" s="9"/>
      <c r="E157" s="9"/>
      <c r="F157" s="2"/>
    </row>
    <row r="158" spans="1:6" ht="25.5" customHeight="1" x14ac:dyDescent="0.25">
      <c r="B158" s="28"/>
      <c r="C158" s="9"/>
      <c r="D158" s="9"/>
      <c r="E158" s="9"/>
      <c r="F158" s="2"/>
    </row>
    <row r="159" spans="1:6" ht="25.5" customHeight="1" x14ac:dyDescent="0.25">
      <c r="B159" s="28"/>
      <c r="C159" s="9"/>
      <c r="D159" s="9"/>
      <c r="E159" s="9"/>
      <c r="F159" s="2"/>
    </row>
    <row r="160" spans="1:6" ht="25.5" customHeight="1" x14ac:dyDescent="0.25">
      <c r="B160" s="28"/>
      <c r="C160" s="9"/>
      <c r="D160" s="9"/>
      <c r="E160" s="9"/>
      <c r="F160" s="2"/>
    </row>
  </sheetData>
  <mergeCells count="7">
    <mergeCell ref="A1:Y1"/>
    <mergeCell ref="A4:E5"/>
    <mergeCell ref="G4:Y5"/>
    <mergeCell ref="T6:T7"/>
    <mergeCell ref="V6:V7"/>
    <mergeCell ref="X6:X7"/>
    <mergeCell ref="Y6:Y7"/>
  </mergeCells>
  <conditionalFormatting sqref="G9:S9">
    <cfRule type="containsBlanks" dxfId="35" priority="1">
      <formula>LEN(TRIM(G9))=0</formula>
    </cfRule>
  </conditionalFormatting>
  <dataValidations count="1">
    <dataValidation type="list" allowBlank="1" showInputMessage="1" showErrorMessage="1" sqref="D9">
      <formula1>CATEGORIA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D1" workbookViewId="0">
      <selection activeCell="N6" sqref="N6"/>
    </sheetView>
  </sheetViews>
  <sheetFormatPr defaultColWidth="23.85546875" defaultRowHeight="15" x14ac:dyDescent="0.25"/>
  <cols>
    <col min="4" max="4" width="27.7109375" customWidth="1"/>
  </cols>
  <sheetData>
    <row r="1" spans="1:14" ht="31.5" x14ac:dyDescent="0.25">
      <c r="A1" s="74" t="s">
        <v>37</v>
      </c>
      <c r="B1" s="75" t="s">
        <v>19</v>
      </c>
      <c r="C1" s="76" t="s">
        <v>20</v>
      </c>
      <c r="D1" s="76" t="s">
        <v>22</v>
      </c>
      <c r="E1" s="77" t="s">
        <v>23</v>
      </c>
      <c r="F1" s="74" t="s">
        <v>24</v>
      </c>
      <c r="G1" s="78" t="s">
        <v>48</v>
      </c>
      <c r="H1" s="35" t="s">
        <v>38</v>
      </c>
      <c r="I1" s="93" t="s">
        <v>79</v>
      </c>
      <c r="J1" s="91" t="s">
        <v>38</v>
      </c>
      <c r="K1" s="79" t="s">
        <v>36</v>
      </c>
      <c r="M1" s="276" t="s">
        <v>82</v>
      </c>
      <c r="N1" s="276"/>
    </row>
    <row r="2" spans="1:14" ht="18.75" x14ac:dyDescent="0.25">
      <c r="A2" s="80">
        <v>1</v>
      </c>
      <c r="B2" s="81" t="s">
        <v>71</v>
      </c>
      <c r="C2" s="82">
        <v>2004</v>
      </c>
      <c r="D2" s="82" t="s">
        <v>9</v>
      </c>
      <c r="E2" s="83" t="s">
        <v>72</v>
      </c>
      <c r="F2" s="84" t="s">
        <v>73</v>
      </c>
      <c r="G2" s="85">
        <v>1</v>
      </c>
      <c r="H2" s="86">
        <v>100</v>
      </c>
      <c r="I2" s="87"/>
      <c r="J2" s="88" t="str">
        <f>IFERROR(IF(FEMMINE[[#This Row],[TOTALE]]+(IF(FEMMINE[[#This Row],[ DATA    ]]="",0,LOOKUP(FEMMINE[[#This Row],[ DATA    ]],Tabella4[1],Tabella4[100])))=0,"",(FEMMINE[[#This Row],[TOTALE]]+(IF(FEMMINE[[#This Row],[ DATA    ]]="",0,LOOKUP(FEMMINE[[#This Row],[ DATA    ]],Tabella4[1],Tabella4[100]))))),"")</f>
        <v/>
      </c>
      <c r="K2" s="89" t="str">
        <f>IFERROR(IF(E2=0,"",J2/E2),"")</f>
        <v/>
      </c>
      <c r="M2" s="277"/>
      <c r="N2" s="277"/>
    </row>
    <row r="3" spans="1:14" x14ac:dyDescent="0.25">
      <c r="M3" s="277"/>
      <c r="N3" s="277"/>
    </row>
    <row r="5" spans="1:14" x14ac:dyDescent="0.25">
      <c r="A5" s="128" t="s">
        <v>88</v>
      </c>
      <c r="B5" s="129" t="s">
        <v>92</v>
      </c>
      <c r="C5" s="129" t="s">
        <v>92</v>
      </c>
      <c r="D5" s="129" t="s">
        <v>93</v>
      </c>
      <c r="E5" s="90" t="s">
        <v>62</v>
      </c>
      <c r="F5" s="129" t="s">
        <v>94</v>
      </c>
      <c r="G5" s="130" t="s">
        <v>65</v>
      </c>
      <c r="H5" s="90" t="s">
        <v>88</v>
      </c>
      <c r="I5" s="130" t="s">
        <v>65</v>
      </c>
      <c r="J5" s="90" t="s">
        <v>88</v>
      </c>
      <c r="M5" s="61" t="s">
        <v>80</v>
      </c>
      <c r="N5" s="61" t="s">
        <v>81</v>
      </c>
    </row>
    <row r="6" spans="1:14" x14ac:dyDescent="0.25">
      <c r="A6" s="128" t="s">
        <v>63</v>
      </c>
      <c r="B6" s="129" t="s">
        <v>58</v>
      </c>
      <c r="C6" s="129" t="s">
        <v>59</v>
      </c>
      <c r="D6" s="129" t="s">
        <v>61</v>
      </c>
      <c r="E6" s="90" t="s">
        <v>63</v>
      </c>
      <c r="F6" s="129" t="s">
        <v>64</v>
      </c>
      <c r="G6" s="130" t="s">
        <v>69</v>
      </c>
      <c r="H6" s="90" t="s">
        <v>63</v>
      </c>
      <c r="I6" s="130" t="s">
        <v>69</v>
      </c>
      <c r="J6" s="90" t="s">
        <v>63</v>
      </c>
      <c r="M6" s="61">
        <v>1</v>
      </c>
      <c r="N6" s="61">
        <v>100</v>
      </c>
    </row>
    <row r="7" spans="1:14" x14ac:dyDescent="0.25">
      <c r="A7" s="128" t="s">
        <v>91</v>
      </c>
      <c r="D7" s="129"/>
      <c r="G7" s="130" t="s">
        <v>70</v>
      </c>
      <c r="H7" s="90" t="s">
        <v>74</v>
      </c>
      <c r="I7" s="130" t="s">
        <v>70</v>
      </c>
      <c r="J7" s="90" t="s">
        <v>74</v>
      </c>
      <c r="M7" s="61">
        <v>2</v>
      </c>
      <c r="N7" s="61">
        <v>90</v>
      </c>
    </row>
    <row r="8" spans="1:14" x14ac:dyDescent="0.25">
      <c r="A8" s="128" t="s">
        <v>57</v>
      </c>
      <c r="D8" s="129" t="s">
        <v>60</v>
      </c>
      <c r="G8" s="130"/>
      <c r="H8" s="90" t="s">
        <v>75</v>
      </c>
      <c r="I8" s="130"/>
      <c r="J8" s="90" t="s">
        <v>75</v>
      </c>
      <c r="M8" s="61">
        <v>3</v>
      </c>
      <c r="N8" s="61">
        <v>85</v>
      </c>
    </row>
    <row r="9" spans="1:14" x14ac:dyDescent="0.25">
      <c r="D9" s="129" t="s">
        <v>9</v>
      </c>
      <c r="G9" s="130" t="s">
        <v>66</v>
      </c>
      <c r="H9" s="90" t="s">
        <v>76</v>
      </c>
      <c r="I9" s="130" t="s">
        <v>66</v>
      </c>
      <c r="J9" s="90" t="s">
        <v>76</v>
      </c>
      <c r="M9" s="61">
        <v>4</v>
      </c>
      <c r="N9" s="61">
        <v>80</v>
      </c>
    </row>
    <row r="10" spans="1:14" x14ac:dyDescent="0.25">
      <c r="D10" s="129" t="s">
        <v>15</v>
      </c>
      <c r="G10" s="130" t="s">
        <v>67</v>
      </c>
      <c r="H10" s="90" t="s">
        <v>77</v>
      </c>
      <c r="I10" s="130" t="s">
        <v>67</v>
      </c>
      <c r="J10" s="90" t="s">
        <v>77</v>
      </c>
      <c r="M10" s="61">
        <v>5</v>
      </c>
      <c r="N10" s="61">
        <v>75</v>
      </c>
    </row>
    <row r="11" spans="1:14" x14ac:dyDescent="0.25">
      <c r="D11" s="129" t="s">
        <v>41</v>
      </c>
      <c r="G11" s="130"/>
      <c r="I11" s="130"/>
      <c r="M11" s="61">
        <v>6</v>
      </c>
      <c r="N11" s="61">
        <v>70</v>
      </c>
    </row>
    <row r="12" spans="1:14" x14ac:dyDescent="0.25">
      <c r="G12" s="156" t="s">
        <v>68</v>
      </c>
      <c r="I12" s="156" t="s">
        <v>68</v>
      </c>
      <c r="J12" s="92" t="s">
        <v>78</v>
      </c>
      <c r="M12" s="61">
        <v>7</v>
      </c>
      <c r="N12" s="61">
        <v>67</v>
      </c>
    </row>
    <row r="13" spans="1:14" x14ac:dyDescent="0.25">
      <c r="G13" s="156" t="s">
        <v>101</v>
      </c>
      <c r="I13" s="156" t="s">
        <v>101</v>
      </c>
      <c r="J13" s="132" t="s">
        <v>89</v>
      </c>
      <c r="M13" s="61">
        <v>8</v>
      </c>
      <c r="N13" s="61">
        <v>64</v>
      </c>
    </row>
    <row r="14" spans="1:14" x14ac:dyDescent="0.25">
      <c r="G14" s="156" t="s">
        <v>102</v>
      </c>
      <c r="I14" s="156" t="s">
        <v>102</v>
      </c>
      <c r="J14" s="132" t="s">
        <v>90</v>
      </c>
      <c r="M14" s="61">
        <v>9</v>
      </c>
      <c r="N14" s="61">
        <v>61</v>
      </c>
    </row>
    <row r="15" spans="1:14" x14ac:dyDescent="0.25">
      <c r="G15" s="156" t="s">
        <v>103</v>
      </c>
      <c r="I15" s="156" t="s">
        <v>103</v>
      </c>
      <c r="M15" s="61">
        <v>10</v>
      </c>
      <c r="N15" s="61">
        <v>58</v>
      </c>
    </row>
    <row r="16" spans="1:14" x14ac:dyDescent="0.25">
      <c r="M16" s="61">
        <v>11</v>
      </c>
      <c r="N16" s="61">
        <v>55</v>
      </c>
    </row>
    <row r="17" spans="9:14" x14ac:dyDescent="0.25">
      <c r="I17" s="131" t="s">
        <v>83</v>
      </c>
      <c r="M17" s="61">
        <v>12</v>
      </c>
      <c r="N17" s="61">
        <v>52</v>
      </c>
    </row>
    <row r="18" spans="9:14" x14ac:dyDescent="0.25">
      <c r="I18" s="131" t="s">
        <v>84</v>
      </c>
      <c r="M18" s="61">
        <v>13</v>
      </c>
      <c r="N18" s="61">
        <v>49</v>
      </c>
    </row>
    <row r="19" spans="9:14" x14ac:dyDescent="0.25">
      <c r="I19" s="131" t="s">
        <v>85</v>
      </c>
      <c r="M19" s="61">
        <v>14</v>
      </c>
      <c r="N19" s="61">
        <v>47</v>
      </c>
    </row>
    <row r="20" spans="9:14" x14ac:dyDescent="0.25">
      <c r="I20" s="131" t="s">
        <v>86</v>
      </c>
      <c r="M20" s="61">
        <v>15</v>
      </c>
      <c r="N20" s="61">
        <v>45</v>
      </c>
    </row>
    <row r="21" spans="9:14" x14ac:dyDescent="0.25">
      <c r="I21" s="131" t="s">
        <v>87</v>
      </c>
      <c r="M21" s="61">
        <v>16</v>
      </c>
      <c r="N21" s="61">
        <v>43</v>
      </c>
    </row>
    <row r="22" spans="9:14" x14ac:dyDescent="0.25">
      <c r="M22" s="61">
        <v>17</v>
      </c>
      <c r="N22" s="61">
        <v>41</v>
      </c>
    </row>
    <row r="23" spans="9:14" x14ac:dyDescent="0.25">
      <c r="M23" s="61">
        <v>18</v>
      </c>
      <c r="N23" s="61">
        <v>39</v>
      </c>
    </row>
    <row r="24" spans="9:14" x14ac:dyDescent="0.25">
      <c r="M24" s="61">
        <v>19</v>
      </c>
      <c r="N24" s="61">
        <v>37</v>
      </c>
    </row>
    <row r="25" spans="9:14" x14ac:dyDescent="0.25">
      <c r="M25" s="61">
        <v>20</v>
      </c>
      <c r="N25" s="61">
        <v>35</v>
      </c>
    </row>
    <row r="26" spans="9:14" x14ac:dyDescent="0.25">
      <c r="M26" s="61">
        <v>21</v>
      </c>
      <c r="N26" s="61">
        <v>33</v>
      </c>
    </row>
    <row r="27" spans="9:14" x14ac:dyDescent="0.25">
      <c r="M27" s="61">
        <v>22</v>
      </c>
      <c r="N27" s="61">
        <v>31</v>
      </c>
    </row>
    <row r="28" spans="9:14" x14ac:dyDescent="0.25">
      <c r="M28" s="61">
        <v>23</v>
      </c>
      <c r="N28" s="61">
        <v>29</v>
      </c>
    </row>
    <row r="29" spans="9:14" x14ac:dyDescent="0.25">
      <c r="M29" s="61">
        <v>24</v>
      </c>
      <c r="N29" s="61">
        <v>27</v>
      </c>
    </row>
    <row r="30" spans="9:14" x14ac:dyDescent="0.25">
      <c r="M30" s="61">
        <v>25</v>
      </c>
      <c r="N30" s="61">
        <v>25</v>
      </c>
    </row>
    <row r="31" spans="9:14" x14ac:dyDescent="0.25">
      <c r="M31" s="61">
        <v>26</v>
      </c>
      <c r="N31" s="61">
        <v>23</v>
      </c>
    </row>
    <row r="32" spans="9:14" x14ac:dyDescent="0.25">
      <c r="M32" s="61">
        <v>27</v>
      </c>
      <c r="N32" s="61">
        <v>21</v>
      </c>
    </row>
    <row r="33" spans="13:14" x14ac:dyDescent="0.25">
      <c r="M33" s="61">
        <v>28</v>
      </c>
      <c r="N33" s="61">
        <v>19</v>
      </c>
    </row>
    <row r="34" spans="13:14" x14ac:dyDescent="0.25">
      <c r="M34" s="61">
        <v>29</v>
      </c>
      <c r="N34" s="61">
        <v>17</v>
      </c>
    </row>
    <row r="35" spans="13:14" x14ac:dyDescent="0.25">
      <c r="M35" s="61">
        <v>30</v>
      </c>
      <c r="N35" s="61">
        <v>15</v>
      </c>
    </row>
    <row r="36" spans="13:14" x14ac:dyDescent="0.25">
      <c r="M36" s="61">
        <v>31</v>
      </c>
      <c r="N36" s="61">
        <v>13</v>
      </c>
    </row>
    <row r="37" spans="13:14" x14ac:dyDescent="0.25">
      <c r="M37" s="61">
        <v>32</v>
      </c>
      <c r="N37" s="61">
        <v>12</v>
      </c>
    </row>
    <row r="38" spans="13:14" x14ac:dyDescent="0.25">
      <c r="M38" s="61">
        <v>33</v>
      </c>
      <c r="N38" s="61">
        <v>11</v>
      </c>
    </row>
    <row r="39" spans="13:14" x14ac:dyDescent="0.25">
      <c r="M39" s="61">
        <v>34</v>
      </c>
      <c r="N39" s="61">
        <v>10</v>
      </c>
    </row>
    <row r="40" spans="13:14" x14ac:dyDescent="0.25">
      <c r="M40" s="61">
        <v>35</v>
      </c>
      <c r="N40" s="61">
        <v>9</v>
      </c>
    </row>
    <row r="41" spans="13:14" x14ac:dyDescent="0.25">
      <c r="M41" s="61">
        <v>36</v>
      </c>
      <c r="N41" s="61">
        <v>8</v>
      </c>
    </row>
    <row r="42" spans="13:14" x14ac:dyDescent="0.25">
      <c r="M42" s="61">
        <v>37</v>
      </c>
      <c r="N42" s="61">
        <v>7</v>
      </c>
    </row>
    <row r="43" spans="13:14" x14ac:dyDescent="0.25">
      <c r="M43" s="61">
        <v>38</v>
      </c>
      <c r="N43" s="61">
        <v>6</v>
      </c>
    </row>
    <row r="44" spans="13:14" x14ac:dyDescent="0.25">
      <c r="M44" s="61">
        <v>39</v>
      </c>
      <c r="N44" s="61">
        <v>5</v>
      </c>
    </row>
    <row r="45" spans="13:14" x14ac:dyDescent="0.25">
      <c r="M45" s="61">
        <v>40</v>
      </c>
      <c r="N45" s="61">
        <v>4</v>
      </c>
    </row>
    <row r="46" spans="13:14" x14ac:dyDescent="0.25">
      <c r="M46" s="61" t="s">
        <v>45</v>
      </c>
      <c r="N46" s="61">
        <v>4</v>
      </c>
    </row>
  </sheetData>
  <sheetProtection algorithmName="SHA-512" hashValue="VTaG/tkF7noVXvT4RsB0OlRG5/lZbr9NyaWVwe7xIc89S8CqEAGPWSo7KtegN4JaYTTOLGGTUSAxWASIvJgAaw==" saltValue="5XP/VQm1xdGIZZJSShOyew==" spinCount="100000" sheet="1" objects="1" scenarios="1"/>
  <mergeCells count="1">
    <mergeCell ref="M1:N3"/>
  </mergeCells>
  <conditionalFormatting sqref="G2">
    <cfRule type="containsBlanks" dxfId="4" priority="1">
      <formula>LEN(TRIM(G2))=0</formula>
    </cfRule>
  </conditionalFormatting>
  <dataValidations disablePrompts="1" count="1">
    <dataValidation type="list" allowBlank="1" showInputMessage="1" showErrorMessage="1" sqref="D2">
      <formula1>CATEGORIA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9"/>
  <sheetViews>
    <sheetView workbookViewId="0">
      <selection activeCell="C16" sqref="C16"/>
    </sheetView>
  </sheetViews>
  <sheetFormatPr defaultColWidth="16.7109375" defaultRowHeight="15" x14ac:dyDescent="0.25"/>
  <sheetData>
    <row r="1" spans="1:20" ht="15.75" thickBot="1" x14ac:dyDescent="0.3">
      <c r="A1" s="278" t="s">
        <v>18</v>
      </c>
      <c r="B1" s="279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x14ac:dyDescent="0.25">
      <c r="A2" s="280"/>
      <c r="B2" s="281"/>
      <c r="C2" s="1"/>
      <c r="D2" s="284" t="s">
        <v>49</v>
      </c>
      <c r="E2" s="285"/>
      <c r="F2" s="284" t="s">
        <v>50</v>
      </c>
      <c r="G2" s="285"/>
      <c r="H2" s="284" t="s">
        <v>51</v>
      </c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5"/>
    </row>
    <row r="3" spans="1:20" ht="15.75" thickBot="1" x14ac:dyDescent="0.3">
      <c r="A3" s="282"/>
      <c r="B3" s="283"/>
      <c r="C3" s="1"/>
      <c r="D3" s="39" t="s">
        <v>6</v>
      </c>
      <c r="E3" s="40">
        <f>COUNTA(MASCHI[Nome Giocatore])</f>
        <v>6</v>
      </c>
      <c r="F3" s="39" t="s">
        <v>6</v>
      </c>
      <c r="G3" s="40">
        <f>(COUNTA(MASCHI[24-mar],MASCHI[14-apr],MASCHI[12-mag],MASCHI[12-giu],MASCHI[16-giu],MASCHI[25-giu],MASCHI[data7],MASCHI[data8],MASCHI[data9],MASCHI[data10],MASCHI[data11],MASCHI[data12],MASCHI[data13],MASCHI[[ DATA    ]]))/'CLASSIFICA MASCHILE 13-14 anni'!T3</f>
        <v>3.5</v>
      </c>
      <c r="H3" s="43"/>
      <c r="I3" s="44">
        <v>2012</v>
      </c>
      <c r="J3" s="44">
        <v>2011</v>
      </c>
      <c r="K3" s="44">
        <v>2010</v>
      </c>
      <c r="L3" s="44">
        <v>2009</v>
      </c>
      <c r="M3" s="44">
        <v>2008</v>
      </c>
      <c r="N3" s="44">
        <v>2007</v>
      </c>
      <c r="O3" s="44">
        <v>2006</v>
      </c>
      <c r="P3" s="44">
        <v>2005</v>
      </c>
      <c r="Q3" s="44">
        <v>2004</v>
      </c>
      <c r="R3" s="44">
        <v>2003</v>
      </c>
      <c r="S3" s="44">
        <v>2002</v>
      </c>
      <c r="T3" s="45">
        <v>2001</v>
      </c>
    </row>
    <row r="4" spans="1:20" ht="15.75" x14ac:dyDescent="0.25">
      <c r="A4" s="1"/>
      <c r="B4" s="1"/>
      <c r="C4" s="1"/>
      <c r="D4" s="39" t="s">
        <v>8</v>
      </c>
      <c r="E4" s="40">
        <f>COUNTA(FEMMINE[Nome Giocatore])</f>
        <v>5</v>
      </c>
      <c r="F4" s="39" t="s">
        <v>8</v>
      </c>
      <c r="G4" s="40">
        <f>(COUNTA(FEMMINE[24-mar],FEMMINE[14-apr],FEMMINE[12-mag],FEMMINE[12-giu],FEMMINE[16-giu],FEMMINE[25-giu],FEMMINE[data7],FEMMINE[data8],FEMMINE[data9],FEMMINE[data10],FEMMINE[data11],FEMMINE[data12],FEMMINE[data13],FEMMINE[[ DATA    ]]))/'CLASSIFICA FEMMINILE 13-14 anni'!T3</f>
        <v>2.8333333333333335</v>
      </c>
      <c r="H4" s="46" t="s">
        <v>52</v>
      </c>
      <c r="I4" s="5">
        <f>COUNTIF(MASCHI[Anno di nascita],'Statistiche per Responsabile'!I3)</f>
        <v>0</v>
      </c>
      <c r="J4" s="5">
        <f>COUNTIF(MASCHI[Qualifica],'Statistiche per Responsabile'!J3)</f>
        <v>0</v>
      </c>
      <c r="K4" s="5">
        <f>COUNTIF(MASCHI[N° Gare],'Statistiche per Responsabile'!K3)</f>
        <v>0</v>
      </c>
      <c r="L4" s="5">
        <f>COUNTIF(MASCHI[Circolo],'Statistiche per Responsabile'!L3)</f>
        <v>0</v>
      </c>
      <c r="M4" s="5">
        <f>COUNTIF(MASCHI[24-mar],'Statistiche per Responsabile'!M3)</f>
        <v>0</v>
      </c>
      <c r="N4" s="5">
        <f>COUNTIF(MASCHI[14-apr],'Statistiche per Responsabile'!N3)</f>
        <v>0</v>
      </c>
      <c r="O4" s="5">
        <f>COUNTIF(MASCHI[12-mag],'Statistiche per Responsabile'!O3)</f>
        <v>0</v>
      </c>
      <c r="P4" s="5">
        <f>COUNTIF(MASCHI[12-giu],'Statistiche per Responsabile'!P3)</f>
        <v>0</v>
      </c>
      <c r="Q4" s="5">
        <f>COUNTIF(MASCHI[16-giu],'Statistiche per Responsabile'!Q3)</f>
        <v>0</v>
      </c>
      <c r="R4" s="5">
        <f>COUNTIF(MASCHI[25-giu],'Statistiche per Responsabile'!R3)</f>
        <v>0</v>
      </c>
      <c r="S4" s="5">
        <f>COUNTIF(MASCHI[data7],'Statistiche per Responsabile'!S3)</f>
        <v>0</v>
      </c>
      <c r="T4" s="47">
        <f>COUNTIF(MASCHI[data8],'Statistiche per Responsabile'!T3)</f>
        <v>0</v>
      </c>
    </row>
    <row r="5" spans="1:20" ht="16.5" thickBot="1" x14ac:dyDescent="0.3">
      <c r="A5" s="1"/>
      <c r="B5" s="1"/>
      <c r="C5" s="1"/>
      <c r="D5" s="41" t="s">
        <v>17</v>
      </c>
      <c r="E5" s="42">
        <f>E3+E4</f>
        <v>11</v>
      </c>
      <c r="F5" s="41" t="s">
        <v>17</v>
      </c>
      <c r="G5" s="42">
        <f>AVERAGE(G3:G4)</f>
        <v>3.166666666666667</v>
      </c>
      <c r="H5" s="48" t="s">
        <v>53</v>
      </c>
      <c r="I5" s="49">
        <f>COUNTIF(FEMMINE[Anno di nascita],'Statistiche per Responsabile'!I3)</f>
        <v>0</v>
      </c>
      <c r="J5" s="49">
        <f>COUNTIF(FEMMINE[Qualifica],'Statistiche per Responsabile'!J3)</f>
        <v>0</v>
      </c>
      <c r="K5" s="49">
        <f>COUNTIF(FEMMINE[N° Gare],'Statistiche per Responsabile'!K3)</f>
        <v>0</v>
      </c>
      <c r="L5" s="49">
        <f>COUNTIF(FEMMINE[Circolo],'Statistiche per Responsabile'!L3)</f>
        <v>0</v>
      </c>
      <c r="M5" s="49">
        <f>COUNTIF(FEMMINE[24-mar],'Statistiche per Responsabile'!M3)</f>
        <v>0</v>
      </c>
      <c r="N5" s="49">
        <f>COUNTIF(FEMMINE[14-apr],'Statistiche per Responsabile'!N3)</f>
        <v>0</v>
      </c>
      <c r="O5" s="49">
        <f>COUNTIF(FEMMINE[12-mag],'Statistiche per Responsabile'!O3)</f>
        <v>0</v>
      </c>
      <c r="P5" s="49">
        <f>COUNTIF(FEMMINE[12-giu],'Statistiche per Responsabile'!P3)</f>
        <v>0</v>
      </c>
      <c r="Q5" s="49">
        <f>COUNTIF(FEMMINE[16-giu],'Statistiche per Responsabile'!Q3)</f>
        <v>0</v>
      </c>
      <c r="R5" s="49">
        <f>COUNTIF(FEMMINE[25-giu],'Statistiche per Responsabile'!R3)</f>
        <v>0</v>
      </c>
      <c r="S5" s="49">
        <f>COUNTIF(FEMMINE[data7],'Statistiche per Responsabile'!S3)</f>
        <v>0</v>
      </c>
      <c r="T5" s="50">
        <f>COUNTIF(FEMMINE[data8],'Statistiche per Responsabile'!T3)</f>
        <v>0</v>
      </c>
    </row>
    <row r="6" spans="1:20" ht="15.75" x14ac:dyDescent="0.25">
      <c r="A6" s="1"/>
      <c r="B6" s="1"/>
      <c r="C6" s="1"/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20" ht="16.5" thickBot="1" x14ac:dyDescent="0.3">
      <c r="A7" s="1"/>
      <c r="B7" s="1"/>
      <c r="C7" s="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20" ht="15.75" x14ac:dyDescent="0.25">
      <c r="A8" s="1"/>
      <c r="B8" s="1"/>
      <c r="C8" s="1"/>
      <c r="D8" s="284" t="s">
        <v>55</v>
      </c>
      <c r="E8" s="286"/>
      <c r="F8" s="286"/>
      <c r="G8" s="286"/>
      <c r="H8" s="285"/>
      <c r="I8" s="284" t="s">
        <v>56</v>
      </c>
      <c r="J8" s="285"/>
      <c r="K8" s="5"/>
      <c r="L8" s="5"/>
      <c r="M8" s="5"/>
      <c r="N8" s="5"/>
      <c r="O8" s="5"/>
      <c r="P8" s="5"/>
      <c r="Q8" s="5"/>
    </row>
    <row r="9" spans="1:20" ht="15.75" x14ac:dyDescent="0.25">
      <c r="A9" s="1"/>
      <c r="B9" s="1"/>
      <c r="C9" s="1"/>
      <c r="D9" s="54"/>
      <c r="E9" s="52" t="s">
        <v>54</v>
      </c>
      <c r="F9" s="52" t="s">
        <v>9</v>
      </c>
      <c r="G9" s="52" t="s">
        <v>15</v>
      </c>
      <c r="H9" s="40" t="s">
        <v>41</v>
      </c>
      <c r="I9" s="39" t="s">
        <v>6</v>
      </c>
      <c r="J9" s="70">
        <f>AVERAGE(MASCHI[Colonna16])</f>
        <v>3.6888888888888887</v>
      </c>
      <c r="K9" s="72"/>
      <c r="L9" s="5"/>
      <c r="M9" s="5"/>
      <c r="N9" s="5"/>
      <c r="O9" s="5"/>
      <c r="P9" s="5"/>
      <c r="Q9" s="5"/>
    </row>
    <row r="10" spans="1:20" x14ac:dyDescent="0.25">
      <c r="A10" s="1"/>
      <c r="B10" s="1"/>
      <c r="C10" s="1"/>
      <c r="D10" s="39" t="s">
        <v>6</v>
      </c>
      <c r="E10" s="55">
        <f>COUNTIFS(MASCHI[Qualifica],"")-(COUNTIFS(MASCHI[Qualifica],"",MASCHI[Nome Giocatore],""))</f>
        <v>3</v>
      </c>
      <c r="F10" s="53">
        <f>COUNTIF(MASCHI[Qualifica],"B")</f>
        <v>1</v>
      </c>
      <c r="G10" s="53">
        <f>COUNTIF(MASCHI[Qualifica],"BG")</f>
        <v>2</v>
      </c>
      <c r="H10" s="51">
        <f>COUNTIF(MASCHI[Qualifica],"BN")</f>
        <v>0</v>
      </c>
      <c r="I10" s="39" t="s">
        <v>8</v>
      </c>
      <c r="J10" s="70">
        <f>AVERAGE(FEMMINE[Colonna16])</f>
        <v>1.9933333333333334</v>
      </c>
      <c r="K10" s="1"/>
      <c r="L10" s="1"/>
      <c r="M10" s="1"/>
      <c r="N10" s="1"/>
      <c r="O10" s="1"/>
      <c r="P10" s="1"/>
      <c r="Q10" s="1"/>
    </row>
    <row r="11" spans="1:20" ht="15.75" thickBot="1" x14ac:dyDescent="0.3">
      <c r="A11" s="1"/>
      <c r="B11" s="1"/>
      <c r="C11" s="1"/>
      <c r="D11" s="39" t="s">
        <v>8</v>
      </c>
      <c r="E11" s="55">
        <f>COUNTIFS(FEMMINE[Qualifica],"")-(COUNTIFS(FEMMINE[Qualifica],"",FEMMINE[Nome Giocatore],""))</f>
        <v>1</v>
      </c>
      <c r="F11" s="53">
        <f>COUNTIF(FEMMINE[Qualifica],"B")</f>
        <v>0</v>
      </c>
      <c r="G11" s="53">
        <f>COUNTIF(FEMMINE[Qualifica],"BG")</f>
        <v>4</v>
      </c>
      <c r="H11" s="51">
        <f>COUNTIF(FEMMINE[Qualifica],"BN")</f>
        <v>0</v>
      </c>
      <c r="I11" s="41" t="s">
        <v>17</v>
      </c>
      <c r="J11" s="71">
        <f>AVERAGE(J9:J10)</f>
        <v>2.8411111111111111</v>
      </c>
      <c r="K11" s="7"/>
      <c r="L11" s="7"/>
      <c r="M11" s="7"/>
      <c r="N11" s="7"/>
      <c r="O11" s="7"/>
      <c r="P11" s="7"/>
      <c r="Q11" s="7"/>
    </row>
    <row r="12" spans="1:20" ht="15.75" thickBot="1" x14ac:dyDescent="0.3">
      <c r="A12" s="1"/>
      <c r="B12" s="1"/>
      <c r="C12" s="1"/>
      <c r="D12" s="41" t="s">
        <v>17</v>
      </c>
      <c r="E12" s="56">
        <f>E10+E11</f>
        <v>4</v>
      </c>
      <c r="F12" s="56">
        <f>F10+F11</f>
        <v>1</v>
      </c>
      <c r="G12" s="56">
        <f>G10+G11</f>
        <v>6</v>
      </c>
      <c r="H12" s="42">
        <f>H10+H11</f>
        <v>0</v>
      </c>
      <c r="I12" s="7"/>
      <c r="J12" s="7"/>
      <c r="K12" s="7"/>
      <c r="L12" s="7"/>
      <c r="M12" s="7"/>
      <c r="N12" s="7"/>
      <c r="O12" s="7"/>
      <c r="P12" s="7"/>
      <c r="Q12" s="7"/>
    </row>
    <row r="13" spans="1:20" ht="15.75" x14ac:dyDescent="0.25">
      <c r="A13" s="1"/>
      <c r="B13" s="1"/>
      <c r="C13" s="1"/>
      <c r="D13" s="4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20" x14ac:dyDescent="0.25">
      <c r="A14" s="1"/>
      <c r="B14" s="1"/>
      <c r="C14" s="1"/>
      <c r="D14" s="4"/>
      <c r="E14" s="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0" x14ac:dyDescent="0.25">
      <c r="A15" s="57"/>
      <c r="B15" s="1"/>
      <c r="C15" s="1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0" x14ac:dyDescent="0.25">
      <c r="A16" s="58"/>
      <c r="B16" s="1"/>
      <c r="C16" s="59"/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60"/>
      <c r="B17" s="61"/>
      <c r="C17" s="62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60"/>
      <c r="B18" s="63"/>
      <c r="C18" s="62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64"/>
      <c r="B19" s="65"/>
      <c r="C19" s="62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B20" s="66"/>
      <c r="C20" s="67"/>
      <c r="D20" s="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58"/>
      <c r="B22" s="1"/>
      <c r="C22" s="68"/>
      <c r="D22" s="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60"/>
      <c r="B23" s="63"/>
      <c r="C23" s="62"/>
      <c r="D23" s="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60"/>
      <c r="B24" s="63"/>
      <c r="C24" s="62"/>
      <c r="D24" s="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64"/>
      <c r="B25" s="65"/>
      <c r="C25" s="62"/>
      <c r="D25" s="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x14ac:dyDescent="0.25">
      <c r="B26" s="66"/>
      <c r="C26" s="67"/>
      <c r="D26" s="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D29" s="4"/>
    </row>
  </sheetData>
  <sheetProtection algorithmName="SHA-512" hashValue="98ixFvwywrQtSDLWo+9ITHVLCGAt9kJca9oJIFHflQwqKYD/g9L8hEFsWWueJvrmo5iZmghgptpzQeW2SY9+nQ==" saltValue="oNbr+YCutUbSIhcSbUHI+w==" spinCount="100000" sheet="1" objects="1" scenarios="1"/>
  <mergeCells count="6">
    <mergeCell ref="A1:B3"/>
    <mergeCell ref="D2:E2"/>
    <mergeCell ref="F2:G2"/>
    <mergeCell ref="H2:T2"/>
    <mergeCell ref="D8:H8"/>
    <mergeCell ref="I8:J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CLASSIFICA MASCHILE 13-14 anni</vt:lpstr>
      <vt:lpstr>CLASSIFICA MASCHILE Under 12</vt:lpstr>
      <vt:lpstr>CLASSIFICA FEMMINILE 13-14 anni</vt:lpstr>
      <vt:lpstr>SISTEMA</vt:lpstr>
      <vt:lpstr>CLASSIFICA FEMMINILE Under 12</vt:lpstr>
      <vt:lpstr>Istruzioni</vt:lpstr>
      <vt:lpstr>Statistiche per Responsabile</vt:lpstr>
      <vt:lpstr>'CLASSIFICA MASCHILE 13-14 anni'!Area_stampa</vt:lpstr>
      <vt:lpstr>'CLASSIFICA MASCHILE Under 12'!Area_stampa</vt:lpstr>
      <vt:lpstr>CATEGORIA</vt:lpstr>
      <vt:lpstr>'CLASSIFICA MASCHILE 13-14 anni'!Titoli_stampa</vt:lpstr>
      <vt:lpstr>'CLASSIFICA MASCHILE Under 12'!Titoli_stampa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Patrizia</cp:lastModifiedBy>
  <cp:lastPrinted>2024-04-20T05:58:42Z</cp:lastPrinted>
  <dcterms:created xsi:type="dcterms:W3CDTF">2012-03-12T11:14:09Z</dcterms:created>
  <dcterms:modified xsi:type="dcterms:W3CDTF">2024-06-26T09:46:15Z</dcterms:modified>
</cp:coreProperties>
</file>