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zia\Desktop\Vittoria &amp; Elisabetta\TEODORO SOLDATI 2023-2024\"/>
    </mc:Choice>
  </mc:AlternateContent>
  <bookViews>
    <workbookView xWindow="0" yWindow="0" windowWidth="28800" windowHeight="11700" firstSheet="3" activeTab="4"/>
  </bookViews>
  <sheets>
    <sheet name="CLASSIFICA MASCHILE vecchia" sheetId="5" state="hidden" r:id="rId1"/>
    <sheet name="CLASSIFICA FEMMINILE vecchia" sheetId="9" state="hidden" r:id="rId2"/>
    <sheet name="SISTEMA" sheetId="10" state="hidden" r:id="rId3"/>
    <sheet name="CLASSIFICA MASCHILE" sheetId="11" r:id="rId4"/>
    <sheet name="CLASSIFICA FEMMINILE" sheetId="12" r:id="rId5"/>
    <sheet name="Istruzioni" sheetId="8" r:id="rId6"/>
    <sheet name="Statistiche per Responsabile" sheetId="7" r:id="rId7"/>
  </sheets>
  <externalReferences>
    <externalReference r:id="rId8"/>
  </externalReferences>
  <definedNames>
    <definedName name="_xlnm._FilterDatabase" localSheetId="4" hidden="1">'CLASSIFICA FEMMINILE'!$D$19:$E$19</definedName>
    <definedName name="_xlnm.Print_Area" localSheetId="3">'CLASSIFICA MASCHILE'!$A$2:$AD$10</definedName>
    <definedName name="_xlnm.Print_Area" localSheetId="0">'CLASSIFICA MASCHILE vecchia'!$A$2:$Y$11</definedName>
    <definedName name="CATEGORIA" localSheetId="4">[1]SISTEMA!$C$3:$C$6</definedName>
    <definedName name="CATEGORIA" localSheetId="3">[1]SISTEMA!$C$3:$C$6</definedName>
    <definedName name="CATEGORIA">SISTEMA!$C$3:$C$6</definedName>
    <definedName name="_xlnm.Print_Titles" localSheetId="3">'CLASSIFICA MASCHILE'!$1:$5</definedName>
    <definedName name="_xlnm.Print_Titles" localSheetId="0">'CLASSIFICA MASCHILE vecchia'!$1:$5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1" l="1"/>
  <c r="Y26" i="11"/>
  <c r="AC26" i="11" s="1"/>
  <c r="AD26" i="11" s="1"/>
  <c r="Z26" i="11"/>
  <c r="E29" i="11" l="1"/>
  <c r="Y29" i="11"/>
  <c r="Z29" i="11"/>
  <c r="AC29" i="11"/>
  <c r="AD29" i="11" s="1"/>
  <c r="E18" i="12" l="1"/>
  <c r="Y18" i="12"/>
  <c r="AC18" i="12" s="1"/>
  <c r="Z18" i="12"/>
  <c r="AD18" i="12" l="1"/>
  <c r="E16" i="12"/>
  <c r="Y16" i="12"/>
  <c r="AC16" i="12" s="1"/>
  <c r="Z16" i="12"/>
  <c r="E32" i="11"/>
  <c r="Y32" i="11"/>
  <c r="Z32" i="11"/>
  <c r="AC32" i="11"/>
  <c r="E27" i="11"/>
  <c r="Y27" i="11"/>
  <c r="AC27" i="11" s="1"/>
  <c r="Z27" i="11"/>
  <c r="E28" i="11"/>
  <c r="Y28" i="11"/>
  <c r="AC28" i="11" s="1"/>
  <c r="Z28" i="11"/>
  <c r="AD28" i="11" l="1"/>
  <c r="AD27" i="11"/>
  <c r="AD16" i="12"/>
  <c r="AD32" i="11"/>
  <c r="E30" i="11"/>
  <c r="Y30" i="11"/>
  <c r="Z30" i="11"/>
  <c r="AC30" i="11"/>
  <c r="E25" i="11"/>
  <c r="Y25" i="11"/>
  <c r="Z25" i="11"/>
  <c r="AC25" i="11"/>
  <c r="E18" i="11"/>
  <c r="Y18" i="11"/>
  <c r="AC18" i="11" s="1"/>
  <c r="Z18" i="11"/>
  <c r="H12" i="7"/>
  <c r="G12" i="7"/>
  <c r="F12" i="7"/>
  <c r="E12" i="7"/>
  <c r="J11" i="7"/>
  <c r="H11" i="7"/>
  <c r="G11" i="7"/>
  <c r="F11" i="7"/>
  <c r="E11" i="7"/>
  <c r="J10" i="7"/>
  <c r="H10" i="7"/>
  <c r="G10" i="7"/>
  <c r="F10" i="7"/>
  <c r="E10" i="7"/>
  <c r="J9" i="7"/>
  <c r="T5" i="7"/>
  <c r="S5" i="7"/>
  <c r="R5" i="7"/>
  <c r="Q5" i="7"/>
  <c r="P5" i="7"/>
  <c r="O5" i="7"/>
  <c r="N5" i="7"/>
  <c r="M5" i="7"/>
  <c r="L5" i="7"/>
  <c r="K5" i="7"/>
  <c r="J5" i="7"/>
  <c r="I5" i="7"/>
  <c r="G5" i="7"/>
  <c r="E5" i="7"/>
  <c r="T4" i="7"/>
  <c r="S4" i="7"/>
  <c r="R4" i="7"/>
  <c r="Q4" i="7"/>
  <c r="P4" i="7"/>
  <c r="O4" i="7"/>
  <c r="N4" i="7"/>
  <c r="M4" i="7"/>
  <c r="L4" i="7"/>
  <c r="K4" i="7"/>
  <c r="J4" i="7"/>
  <c r="I4" i="7"/>
  <c r="G4" i="7"/>
  <c r="E4" i="7"/>
  <c r="G3" i="7"/>
  <c r="E3" i="7"/>
  <c r="K2" i="8"/>
  <c r="J2" i="8"/>
  <c r="Z14" i="12"/>
  <c r="Y14" i="12"/>
  <c r="AC14" i="12" s="1"/>
  <c r="E14" i="12"/>
  <c r="Z10" i="12"/>
  <c r="Y10" i="12"/>
  <c r="AC10" i="12" s="1"/>
  <c r="E10" i="12"/>
  <c r="Z13" i="12"/>
  <c r="Y13" i="12"/>
  <c r="AC13" i="12" s="1"/>
  <c r="E13" i="12"/>
  <c r="Z17" i="12"/>
  <c r="Y17" i="12"/>
  <c r="AC17" i="12" s="1"/>
  <c r="E17" i="12"/>
  <c r="Z15" i="12"/>
  <c r="Y15" i="12"/>
  <c r="AC15" i="12" s="1"/>
  <c r="E15" i="12"/>
  <c r="Z12" i="12"/>
  <c r="Y12" i="12"/>
  <c r="AC12" i="12" s="1"/>
  <c r="E12" i="12"/>
  <c r="Z9" i="12"/>
  <c r="Y9" i="12"/>
  <c r="AC9" i="12" s="1"/>
  <c r="E9" i="12"/>
  <c r="Z11" i="12"/>
  <c r="Y11" i="12"/>
  <c r="AC11" i="12" s="1"/>
  <c r="E11" i="12"/>
  <c r="AA2" i="12"/>
  <c r="AA3" i="12" s="1"/>
  <c r="X2" i="12"/>
  <c r="X3" i="12" s="1"/>
  <c r="R2" i="12"/>
  <c r="R3" i="12" s="1"/>
  <c r="Q2" i="12"/>
  <c r="Q3" i="12" s="1"/>
  <c r="P2" i="12"/>
  <c r="P3" i="12" s="1"/>
  <c r="O2" i="12"/>
  <c r="O3" i="12" s="1"/>
  <c r="N2" i="12"/>
  <c r="N3" i="12" s="1"/>
  <c r="M2" i="12"/>
  <c r="M3" i="12" s="1"/>
  <c r="L2" i="12"/>
  <c r="L3" i="12" s="1"/>
  <c r="K2" i="12"/>
  <c r="K3" i="12" s="1"/>
  <c r="J2" i="12"/>
  <c r="J3" i="12" s="1"/>
  <c r="I2" i="12"/>
  <c r="I3" i="12" s="1"/>
  <c r="H2" i="12"/>
  <c r="H3" i="12" s="1"/>
  <c r="G2" i="12"/>
  <c r="G3" i="12" s="1"/>
  <c r="Z20" i="11"/>
  <c r="Y20" i="11"/>
  <c r="AC20" i="11" s="1"/>
  <c r="E20" i="11"/>
  <c r="Z31" i="11"/>
  <c r="Y31" i="11"/>
  <c r="AC31" i="11" s="1"/>
  <c r="E31" i="11"/>
  <c r="Z23" i="11"/>
  <c r="Y23" i="11"/>
  <c r="AC23" i="11" s="1"/>
  <c r="E23" i="11"/>
  <c r="Z21" i="11"/>
  <c r="Y21" i="11"/>
  <c r="AC21" i="11" s="1"/>
  <c r="E21" i="11"/>
  <c r="Z22" i="11"/>
  <c r="Y22" i="11"/>
  <c r="AC22" i="11" s="1"/>
  <c r="E22" i="11"/>
  <c r="Z19" i="11"/>
  <c r="Y19" i="11"/>
  <c r="AC19" i="11" s="1"/>
  <c r="E19" i="11"/>
  <c r="Z17" i="11"/>
  <c r="Y17" i="11"/>
  <c r="AC17" i="11" s="1"/>
  <c r="E17" i="11"/>
  <c r="Z16" i="11"/>
  <c r="Y16" i="11"/>
  <c r="AC16" i="11" s="1"/>
  <c r="E16" i="11"/>
  <c r="Z15" i="11"/>
  <c r="Y15" i="11"/>
  <c r="AC15" i="11" s="1"/>
  <c r="E15" i="11"/>
  <c r="Z24" i="11"/>
  <c r="Y24" i="11"/>
  <c r="AC24" i="11" s="1"/>
  <c r="E24" i="11"/>
  <c r="Z14" i="11"/>
  <c r="Y14" i="11"/>
  <c r="AC14" i="11" s="1"/>
  <c r="E14" i="11"/>
  <c r="Z10" i="11"/>
  <c r="Y10" i="11"/>
  <c r="AC10" i="11" s="1"/>
  <c r="E10" i="11"/>
  <c r="Z9" i="11"/>
  <c r="Y9" i="11"/>
  <c r="AC9" i="11" s="1"/>
  <c r="E9" i="11"/>
  <c r="Z13" i="11"/>
  <c r="Y13" i="11"/>
  <c r="AC13" i="11" s="1"/>
  <c r="E13" i="11"/>
  <c r="Z12" i="11"/>
  <c r="Y12" i="11"/>
  <c r="AC12" i="11" s="1"/>
  <c r="E12" i="11"/>
  <c r="Z11" i="11"/>
  <c r="Y11" i="11"/>
  <c r="AC11" i="11" s="1"/>
  <c r="E11" i="11"/>
  <c r="AA2" i="11"/>
  <c r="AA3" i="11" s="1"/>
  <c r="X2" i="11"/>
  <c r="X3" i="11" s="1"/>
  <c r="R2" i="11"/>
  <c r="R3" i="11" s="1"/>
  <c r="Q2" i="11"/>
  <c r="Q3" i="11" s="1"/>
  <c r="P2" i="11"/>
  <c r="P3" i="11" s="1"/>
  <c r="O2" i="11"/>
  <c r="O3" i="11" s="1"/>
  <c r="N2" i="11"/>
  <c r="N3" i="11" s="1"/>
  <c r="M2" i="11"/>
  <c r="M3" i="11" s="1"/>
  <c r="L2" i="11"/>
  <c r="L3" i="11" s="1"/>
  <c r="K2" i="11"/>
  <c r="K3" i="11" s="1"/>
  <c r="J2" i="11"/>
  <c r="J3" i="11" s="1"/>
  <c r="I2" i="11"/>
  <c r="I3" i="11" s="1"/>
  <c r="H2" i="11"/>
  <c r="H3" i="11" s="1"/>
  <c r="G2" i="11"/>
  <c r="G3" i="11" s="1"/>
  <c r="K3" i="10"/>
  <c r="C3" i="10"/>
  <c r="Y11" i="9"/>
  <c r="X11" i="9"/>
  <c r="U11" i="9"/>
  <c r="T11" i="9"/>
  <c r="E11" i="9"/>
  <c r="A11" i="9"/>
  <c r="Y10" i="9"/>
  <c r="X10" i="9"/>
  <c r="U10" i="9"/>
  <c r="T10" i="9"/>
  <c r="E10" i="9"/>
  <c r="A10" i="9"/>
  <c r="Y9" i="9"/>
  <c r="X9" i="9"/>
  <c r="U9" i="9"/>
  <c r="T9" i="9"/>
  <c r="E9" i="9"/>
  <c r="A9" i="9"/>
  <c r="V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V2" i="9"/>
  <c r="S2" i="9"/>
  <c r="R2" i="9"/>
  <c r="Q2" i="9"/>
  <c r="P2" i="9"/>
  <c r="O2" i="9"/>
  <c r="N2" i="9"/>
  <c r="M2" i="9"/>
  <c r="L2" i="9"/>
  <c r="K2" i="9"/>
  <c r="J2" i="9"/>
  <c r="I2" i="9"/>
  <c r="H2" i="9"/>
  <c r="G2" i="9"/>
  <c r="Y11" i="5"/>
  <c r="X11" i="5"/>
  <c r="U11" i="5"/>
  <c r="T11" i="5"/>
  <c r="E11" i="5"/>
  <c r="A11" i="5"/>
  <c r="Y10" i="5"/>
  <c r="X10" i="5"/>
  <c r="U10" i="5"/>
  <c r="T10" i="5"/>
  <c r="E10" i="5"/>
  <c r="A10" i="5"/>
  <c r="Y9" i="5"/>
  <c r="X9" i="5"/>
  <c r="U9" i="5"/>
  <c r="T9" i="5"/>
  <c r="E9" i="5"/>
  <c r="A9" i="5"/>
  <c r="V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V2" i="5"/>
  <c r="S2" i="5"/>
  <c r="R2" i="5"/>
  <c r="Q2" i="5"/>
  <c r="P2" i="5"/>
  <c r="O2" i="5"/>
  <c r="N2" i="5"/>
  <c r="M2" i="5"/>
  <c r="L2" i="5"/>
  <c r="K2" i="5"/>
  <c r="J2" i="5"/>
  <c r="I2" i="5"/>
  <c r="H2" i="5"/>
  <c r="G2" i="5"/>
  <c r="AD17" i="12" l="1"/>
  <c r="AD18" i="11"/>
  <c r="AD25" i="11"/>
  <c r="AD30" i="11"/>
  <c r="AD15" i="12"/>
  <c r="Y3" i="12"/>
  <c r="AD9" i="12"/>
  <c r="AD24" i="11"/>
  <c r="AD16" i="11"/>
  <c r="AD22" i="11"/>
  <c r="AD21" i="11"/>
  <c r="AD31" i="11"/>
  <c r="AD23" i="11"/>
  <c r="AD20" i="11"/>
  <c r="AD19" i="11"/>
  <c r="AD12" i="11"/>
  <c r="AD17" i="11"/>
  <c r="AD14" i="11"/>
  <c r="AD9" i="11"/>
  <c r="AD10" i="11"/>
  <c r="Y3" i="11"/>
  <c r="AD15" i="11"/>
  <c r="AD11" i="11"/>
  <c r="AD13" i="11"/>
  <c r="AD11" i="12"/>
  <c r="AD12" i="12"/>
  <c r="AD14" i="12"/>
  <c r="AD13" i="12"/>
  <c r="AD10" i="12"/>
  <c r="A9" i="11"/>
  <c r="A30" i="11"/>
  <c r="A31" i="11" s="1"/>
  <c r="A32" i="11" s="1"/>
  <c r="A27" i="11"/>
  <c r="A28" i="11" s="1"/>
  <c r="A9" i="12"/>
  <c r="A10" i="12"/>
  <c r="A11" i="12"/>
  <c r="A12" i="12"/>
  <c r="A13" i="12"/>
  <c r="A14" i="12"/>
  <c r="A15" i="12"/>
  <c r="A17" i="12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</calcChain>
</file>

<file path=xl/comments1.xml><?xml version="1.0" encoding="utf-8"?>
<comments xmlns="http://schemas.openxmlformats.org/spreadsheetml/2006/main">
  <authors>
    <author>Gianluca</author>
  </authors>
  <commentList>
    <comment ref="C16" authorId="0" shapeId="0">
      <text>
        <r>
          <rPr>
            <b/>
            <sz val="9"/>
            <color indexed="10"/>
            <rFont val="Tahoma"/>
            <family val="2"/>
          </rPr>
          <t>ATTENZIONE !
Qui vanno inseriti i numeri dei tesserati della Zona/Regione.
Tutti i numeri in BLU contengono formule.
NON TOCCARE.</t>
        </r>
      </text>
    </comment>
  </commentList>
</comments>
</file>

<file path=xl/sharedStrings.xml><?xml version="1.0" encoding="utf-8"?>
<sst xmlns="http://schemas.openxmlformats.org/spreadsheetml/2006/main" count="463" uniqueCount="208">
  <si>
    <t>CIRCUITO FEDERALE TEODORO SOLDATI 2021</t>
  </si>
  <si>
    <r>
      <rPr>
        <b/>
        <sz val="20"/>
        <color theme="0" tint="-4.9989318521683403E-2"/>
        <rFont val="Arial Black"/>
        <family val="2"/>
      </rPr>
      <t xml:space="preserve">CLASSIFICA MASCHILE </t>
    </r>
    <r>
      <rPr>
        <b/>
        <sz val="18"/>
        <color theme="0" tint="-4.9989318521683403E-2"/>
        <rFont val="Arial Black"/>
        <family val="2"/>
      </rPr>
      <t xml:space="preserve">
</t>
    </r>
    <r>
      <rPr>
        <b/>
        <sz val="14"/>
        <color theme="0" tint="-4.9989318521683403E-2"/>
        <rFont val="Arial Black"/>
        <family val="2"/>
      </rPr>
      <t>Riservata agli atleti partiti dai battitori gialli</t>
    </r>
  </si>
  <si>
    <t>Zona xx</t>
  </si>
  <si>
    <t>1^ tappa</t>
  </si>
  <si>
    <t>2^ tappa</t>
  </si>
  <si>
    <t>3^ tappa</t>
  </si>
  <si>
    <t>4^ tappa</t>
  </si>
  <si>
    <t>5^ tappa</t>
  </si>
  <si>
    <t>6^ tappa</t>
  </si>
  <si>
    <t>7^ tappa</t>
  </si>
  <si>
    <t>8^ tappa</t>
  </si>
  <si>
    <t>9^ tappa</t>
  </si>
  <si>
    <t>10^ tappa</t>
  </si>
  <si>
    <t>11^ tappa</t>
  </si>
  <si>
    <t>12^ tappa</t>
  </si>
  <si>
    <t>13^ tappa</t>
  </si>
  <si>
    <t>FINALE DEL CIRCUITO</t>
  </si>
  <si>
    <t>PUNTEGGIO FINALE</t>
  </si>
  <si>
    <t>Media
punti</t>
  </si>
  <si>
    <t>Circolo</t>
  </si>
  <si>
    <t>Elenco</t>
  </si>
  <si>
    <t>Nome Giocatore</t>
  </si>
  <si>
    <t>Anno di nascita</t>
  </si>
  <si>
    <t>Qualifica 
(B-BG-BN)</t>
  </si>
  <si>
    <t>N° Gare</t>
  </si>
  <si>
    <t>Circolo di appartenenza</t>
  </si>
  <si>
    <t>data1</t>
  </si>
  <si>
    <t>data2</t>
  </si>
  <si>
    <t>data3</t>
  </si>
  <si>
    <t>data4</t>
  </si>
  <si>
    <t>data5</t>
  </si>
  <si>
    <t>data6</t>
  </si>
  <si>
    <t>data7</t>
  </si>
  <si>
    <t>data8</t>
  </si>
  <si>
    <t>data9</t>
  </si>
  <si>
    <t>data10</t>
  </si>
  <si>
    <t>data11</t>
  </si>
  <si>
    <t>data12</t>
  </si>
  <si>
    <t>data13</t>
  </si>
  <si>
    <t>TOTALE</t>
  </si>
  <si>
    <t>Colonna16</t>
  </si>
  <si>
    <t xml:space="preserve"> DATA    </t>
  </si>
  <si>
    <t>Colonna18</t>
  </si>
  <si>
    <t>Colonna1</t>
  </si>
  <si>
    <t>Colonna20</t>
  </si>
  <si>
    <t>NOME</t>
  </si>
  <si>
    <t/>
  </si>
  <si>
    <r>
      <rPr>
        <b/>
        <sz val="20"/>
        <color theme="0" tint="-4.9989318521683403E-2"/>
        <rFont val="Arial Black"/>
        <family val="2"/>
      </rPr>
      <t xml:space="preserve">CLASSIFICA MASCHILE </t>
    </r>
    <r>
      <rPr>
        <b/>
        <sz val="18"/>
        <color theme="0" tint="-4.9989318521683403E-2"/>
        <rFont val="Arial Black"/>
        <family val="2"/>
      </rPr>
      <t xml:space="preserve">
</t>
    </r>
    <r>
      <rPr>
        <b/>
        <sz val="14"/>
        <color theme="0" tint="-4.9989318521683403E-2"/>
        <rFont val="Arial Black"/>
        <family val="2"/>
      </rPr>
      <t>Riservata alle atlete partite dai battitori rossi</t>
    </r>
  </si>
  <si>
    <t>B</t>
  </si>
  <si>
    <t>NAZIONALE</t>
  </si>
  <si>
    <t>TABELLA PUNTI</t>
  </si>
  <si>
    <t>ELENCO CATEGORIA</t>
  </si>
  <si>
    <t>1</t>
  </si>
  <si>
    <t>100</t>
  </si>
  <si>
    <t>BG</t>
  </si>
  <si>
    <t>BN</t>
  </si>
  <si>
    <t>DAL 41MO</t>
  </si>
  <si>
    <t>CIRCUITO FEDERALE TEODORO SOLDATI 2024</t>
  </si>
  <si>
    <t>Zona 5</t>
  </si>
  <si>
    <t>Tappa 1</t>
  </si>
  <si>
    <t>Tappa 2</t>
  </si>
  <si>
    <t>Tappa 3</t>
  </si>
  <si>
    <t>Tappa 4</t>
  </si>
  <si>
    <t>Tappa 5</t>
  </si>
  <si>
    <t>Tappa 6</t>
  </si>
  <si>
    <t>Tappa 7</t>
  </si>
  <si>
    <t>Tappa 8</t>
  </si>
  <si>
    <t>Tappa 9</t>
  </si>
  <si>
    <t>Tappa 10</t>
  </si>
  <si>
    <t>Tappa 11</t>
  </si>
  <si>
    <t>Tappa 12</t>
  </si>
  <si>
    <t>Tappa 13</t>
  </si>
  <si>
    <t>Tappa 14</t>
  </si>
  <si>
    <t>Tappa 15</t>
  </si>
  <si>
    <t>Tappa 16</t>
  </si>
  <si>
    <t>Tappa 17</t>
  </si>
  <si>
    <t>Tappa 18</t>
  </si>
  <si>
    <t xml:space="preserve">TOSCANA </t>
  </si>
  <si>
    <t>MONTECATINI</t>
  </si>
  <si>
    <t>PUNTA ALA</t>
  </si>
  <si>
    <t>Circolo 10</t>
  </si>
  <si>
    <t>Circolo 11</t>
  </si>
  <si>
    <t>Circolo 12</t>
  </si>
  <si>
    <t>Circolo 13</t>
  </si>
  <si>
    <t>Circolo 14</t>
  </si>
  <si>
    <t>Circolo 15</t>
  </si>
  <si>
    <t>Circolo 16</t>
  </si>
  <si>
    <t>Circolo 17</t>
  </si>
  <si>
    <t>Circolo 18</t>
  </si>
  <si>
    <t>18-feb</t>
  </si>
  <si>
    <t>29-mar</t>
  </si>
  <si>
    <t>6/7 apr</t>
  </si>
  <si>
    <t>Data 10</t>
  </si>
  <si>
    <t>Data 11</t>
  </si>
  <si>
    <t>Data 12</t>
  </si>
  <si>
    <t>Data 13</t>
  </si>
  <si>
    <t>Data 14</t>
  </si>
  <si>
    <t>Data 15</t>
  </si>
  <si>
    <t>Data 16</t>
  </si>
  <si>
    <t>Data 17</t>
  </si>
  <si>
    <t>Data 18</t>
  </si>
  <si>
    <t>VANNI DUCCIO</t>
  </si>
  <si>
    <t>ARGENTARIO</t>
  </si>
  <si>
    <t>FRANCESCHINI ALESSANDRO</t>
  </si>
  <si>
    <t>CASTELFALFI</t>
  </si>
  <si>
    <t>BALDACCI LEONARDO</t>
  </si>
  <si>
    <t>PAVONIERE</t>
  </si>
  <si>
    <t>CORAPI DANIEL</t>
  </si>
  <si>
    <t>TIRRENIA</t>
  </si>
  <si>
    <t>DZIUBA MATTHIAS</t>
  </si>
  <si>
    <t>UGOLINO</t>
  </si>
  <si>
    <t>TERRENI EDOARDO</t>
  </si>
  <si>
    <t>SALERNO MAX</t>
  </si>
  <si>
    <t>ORAZZINI GIANMARCO</t>
  </si>
  <si>
    <t>VEZZOSI RAFFAELE</t>
  </si>
  <si>
    <t>BELLOSGUARDO</t>
  </si>
  <si>
    <t>MANZI GIOVANNI ARNOL</t>
  </si>
  <si>
    <t>BONACCHI EDOARDO</t>
  </si>
  <si>
    <t>BARONCELLI NERI</t>
  </si>
  <si>
    <t>BONACCORSI ARTURO</t>
  </si>
  <si>
    <t>CECCHI DUCCIO</t>
  </si>
  <si>
    <t>FELICIONI TOMMASO</t>
  </si>
  <si>
    <t>CECCHI PAOLO TOMMASO</t>
  </si>
  <si>
    <r>
      <rPr>
        <b/>
        <sz val="20"/>
        <color theme="0" tint="-4.9989318521683403E-2"/>
        <rFont val="Arial Black"/>
        <family val="2"/>
      </rPr>
      <t xml:space="preserve">CLASSIFICA FEMMINILE </t>
    </r>
    <r>
      <rPr>
        <b/>
        <sz val="18"/>
        <color theme="0" tint="-4.9989318521683403E-2"/>
        <rFont val="Arial Black"/>
        <family val="2"/>
      </rPr>
      <t xml:space="preserve">
</t>
    </r>
    <r>
      <rPr>
        <b/>
        <sz val="14"/>
        <color theme="0" tint="-4.9989318521683403E-2"/>
        <rFont val="Arial Black"/>
        <family val="2"/>
      </rPr>
      <t>Riservata alle atlete partite dai battitori rossi</t>
    </r>
  </si>
  <si>
    <t>MOSCHNI CAROLINA FELICIA</t>
  </si>
  <si>
    <t>MELI VITTORIA</t>
  </si>
  <si>
    <t>GUERRINI VIOLA</t>
  </si>
  <si>
    <t>MAIONCHI MATILDE</t>
  </si>
  <si>
    <t>CECCARINI ALLEGRA</t>
  </si>
  <si>
    <t>FAGGI GUENDALINA</t>
  </si>
  <si>
    <t xml:space="preserve">B </t>
  </si>
  <si>
    <t>PIERI SOFIA</t>
  </si>
  <si>
    <t>TACCONI GINEVRA</t>
  </si>
  <si>
    <t>CASENTINO</t>
  </si>
  <si>
    <t>N° GARE</t>
  </si>
  <si>
    <t>Schema dei Punti: il sistema attribuisce automaticamente questi punteggi</t>
  </si>
  <si>
    <t>MARIO ROSSI</t>
  </si>
  <si>
    <t>AUTOMATICO</t>
  </si>
  <si>
    <t>PROVA</t>
  </si>
  <si>
    <t>CALCOLA</t>
  </si>
  <si>
    <t>INSERIRE</t>
  </si>
  <si>
    <t>SCEGLIERE DALL'ELENCO A</t>
  </si>
  <si>
    <t xml:space="preserve">CALCOLATO </t>
  </si>
  <si>
    <t xml:space="preserve">INSERIRE CIRCOLO </t>
  </si>
  <si>
    <t>INSERIRE LA POSIZIONE</t>
  </si>
  <si>
    <t>Posizione in classifica</t>
  </si>
  <si>
    <t>Punti attribuiti</t>
  </si>
  <si>
    <t>AUTOMATICAMENTE</t>
  </si>
  <si>
    <t>NOME DEL GIOCATORE</t>
  </si>
  <si>
    <t>ANNO DI NASCITA</t>
  </si>
  <si>
    <t xml:space="preserve">DISCESA LA QUALIFICA TRA </t>
  </si>
  <si>
    <t>DI APPARTENENZA</t>
  </si>
  <si>
    <t>FINALE NELLA CLASSIFICA</t>
  </si>
  <si>
    <t>IL NUMERO</t>
  </si>
  <si>
    <t>DEL TORNEO</t>
  </si>
  <si>
    <t>IL PUNTEGGIO DA</t>
  </si>
  <si>
    <t>PROGRESSIVO</t>
  </si>
  <si>
    <t>VUOTO</t>
  </si>
  <si>
    <t>ATTRIBUIRE IN BASE</t>
  </si>
  <si>
    <t>USARE SOLO NUMERI</t>
  </si>
  <si>
    <t>ALLA POSIZIONE</t>
  </si>
  <si>
    <t>INTERI</t>
  </si>
  <si>
    <t>IN CLASSIFICA</t>
  </si>
  <si>
    <t>IN CASO DI PARIMERITO</t>
  </si>
  <si>
    <t>CLASSIFICA FINALE!</t>
  </si>
  <si>
    <t xml:space="preserve">TUTTI I GIOCATORI </t>
  </si>
  <si>
    <t>NON SERVONO INTERVENTI</t>
  </si>
  <si>
    <t xml:space="preserve">PRENDERANNO LO </t>
  </si>
  <si>
    <t>MANUALI</t>
  </si>
  <si>
    <t>STESSO PUNTEGGIO</t>
  </si>
  <si>
    <t>I PUNTI CONSIDERATI</t>
  </si>
  <si>
    <t>SONO AUTOMATICAMENTE</t>
  </si>
  <si>
    <t>MOLTIPLICATI PER</t>
  </si>
  <si>
    <t xml:space="preserve">1,5 COME DA </t>
  </si>
  <si>
    <t>MANUALE AZZURRO</t>
  </si>
  <si>
    <t>Dati statistici x Responsabile</t>
  </si>
  <si>
    <t>PRESENZE TOTALI</t>
  </si>
  <si>
    <t>PRESENZA MEDIA PER GARA</t>
  </si>
  <si>
    <t>N° PRESENZE PER ETA'</t>
  </si>
  <si>
    <t>Maschile</t>
  </si>
  <si>
    <t>Femminile</t>
  </si>
  <si>
    <t>MASCHI</t>
  </si>
  <si>
    <t>Totali</t>
  </si>
  <si>
    <t>FEMMINE</t>
  </si>
  <si>
    <t>PRESENZE B/BG/BN</t>
  </si>
  <si>
    <t>MEDIA N° GARE PER ATLETA</t>
  </si>
  <si>
    <t>NO QUALIFICA</t>
  </si>
  <si>
    <t>11-giu</t>
  </si>
  <si>
    <t>COMPOSTO RICCARDO</t>
  </si>
  <si>
    <t xml:space="preserve">PELLEGRINI MATTIA </t>
  </si>
  <si>
    <t xml:space="preserve">PIETROLATI  MATTEO </t>
  </si>
  <si>
    <t xml:space="preserve">TIRRENIA </t>
  </si>
  <si>
    <t>22/23-giu</t>
  </si>
  <si>
    <t>SALOTTI MICHAEL ROBERTO</t>
  </si>
  <si>
    <t>GIZZI TOMMASO</t>
  </si>
  <si>
    <t>BERTI EMILIO</t>
  </si>
  <si>
    <t>22/23 giu</t>
  </si>
  <si>
    <t>MELI ELISABETTA</t>
  </si>
  <si>
    <t>GRETA RIELLI</t>
  </si>
  <si>
    <t>23-lug</t>
  </si>
  <si>
    <t>31-lug</t>
  </si>
  <si>
    <t>NESTI GIANNI</t>
  </si>
  <si>
    <t>Poggio Medici</t>
  </si>
  <si>
    <t>31-ago/01-sett</t>
  </si>
  <si>
    <t>SANAPO LORENZO</t>
  </si>
  <si>
    <t>10-set</t>
  </si>
  <si>
    <t xml:space="preserve">Poggio Medici </t>
  </si>
  <si>
    <t>31-ago/01-set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</si>
</sst>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9">
    <font>
      <sz val="11"/>
      <color theme="1"/>
      <name val="Calibri"/>
      <charset val="134"/>
      <scheme val="minor"/>
    </font>
    <font>
      <b/>
      <sz val="16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9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theme="0"/>
      <name val="Arial"/>
      <family val="2"/>
    </font>
    <font>
      <b/>
      <sz val="12"/>
      <color theme="0" tint="-4.9989318521683403E-2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3"/>
      <color rgb="FF0070C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theme="0" tint="-4.9989318521683403E-2"/>
      <name val="Arial Black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22"/>
      <color theme="0" tint="-4.9989318521683403E-2"/>
      <name val="Arial Black"/>
      <family val="2"/>
    </font>
    <font>
      <b/>
      <sz val="18"/>
      <color theme="0" tint="-4.9989318521683403E-2"/>
      <name val="Arial Black"/>
      <family val="2"/>
    </font>
    <font>
      <b/>
      <sz val="20"/>
      <color theme="0" tint="-4.9989318521683403E-2"/>
      <name val="Calibri"/>
      <family val="2"/>
      <scheme val="minor"/>
    </font>
    <font>
      <b/>
      <sz val="22"/>
      <color theme="0" tint="-4.9989318521683403E-2"/>
      <name val="Arial"/>
      <family val="2"/>
    </font>
    <font>
      <b/>
      <sz val="14"/>
      <color theme="0" tint="-4.9989318521683403E-2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rgb="FFFF0000"/>
      <name val="Arial"/>
      <family val="2"/>
    </font>
    <font>
      <sz val="8"/>
      <color rgb="FF0070C0"/>
      <name val="Arial"/>
      <family val="2"/>
    </font>
    <font>
      <b/>
      <sz val="14"/>
      <color rgb="FF002060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8"/>
      <color rgb="FF0070C0"/>
      <name val="Arial"/>
      <family val="2"/>
    </font>
    <font>
      <b/>
      <i/>
      <sz val="10"/>
      <color theme="1"/>
      <name val="Arial Black"/>
      <family val="2"/>
    </font>
    <font>
      <b/>
      <sz val="12"/>
      <color theme="1"/>
      <name val="Arial"/>
      <family val="2"/>
    </font>
    <font>
      <b/>
      <sz val="16"/>
      <color theme="0" tint="-4.9989318521683403E-2"/>
      <name val="Arial"/>
      <family val="2"/>
    </font>
    <font>
      <b/>
      <sz val="11"/>
      <color theme="1"/>
      <name val="Arial"/>
      <family val="2"/>
    </font>
    <font>
      <b/>
      <sz val="11"/>
      <color theme="0" tint="-0.14996795556505021"/>
      <name val="Arial"/>
      <family val="2"/>
    </font>
    <font>
      <b/>
      <sz val="12"/>
      <color rgb="FFFFC000"/>
      <name val="Arial"/>
      <family val="2"/>
    </font>
    <font>
      <b/>
      <sz val="12"/>
      <color rgb="FFFF0000"/>
      <name val="Arial"/>
      <family val="2"/>
    </font>
    <font>
      <sz val="11"/>
      <color theme="0" tint="-0.14996795556505021"/>
      <name val="Arial"/>
      <family val="2"/>
    </font>
    <font>
      <sz val="11"/>
      <color theme="1"/>
      <name val="Arial"/>
      <family val="2"/>
    </font>
    <font>
      <b/>
      <sz val="9.85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70C0"/>
      <name val="Arial Black"/>
      <family val="2"/>
    </font>
    <font>
      <b/>
      <sz val="20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8"/>
      <color theme="0" tint="-0.1499679555650502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20"/>
      <color theme="0" tint="-4.9989318521683403E-2"/>
      <name val="Arial Black"/>
      <family val="2"/>
    </font>
    <font>
      <b/>
      <sz val="14"/>
      <color theme="0" tint="-4.9989318521683403E-2"/>
      <name val="Arial Black"/>
      <family val="2"/>
    </font>
    <font>
      <b/>
      <sz val="9"/>
      <color indexed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0070C0"/>
      <name val="Arial"/>
      <family val="2"/>
    </font>
    <font>
      <b/>
      <sz val="14"/>
      <color rgb="FFFF0000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</font>
    <font>
      <b/>
      <sz val="12"/>
      <color indexed="8"/>
      <name val="Arial"/>
    </font>
    <font>
      <b/>
      <sz val="12"/>
      <color rgb="FF0070C0"/>
      <name val="Arial"/>
    </font>
    <font>
      <b/>
      <sz val="10"/>
      <color indexed="8"/>
      <name val="Arial"/>
    </font>
    <font>
      <b/>
      <sz val="13"/>
      <color rgb="FF0070C0"/>
      <name val="Arial"/>
    </font>
    <font>
      <sz val="8"/>
      <color theme="0" tint="-0.14996795556505021"/>
      <name val="Arial"/>
    </font>
    <font>
      <sz val="11"/>
      <color theme="1"/>
      <name val="Arial"/>
    </font>
    <font>
      <b/>
      <sz val="14"/>
      <color rgb="FFFF0000"/>
      <name val="Arial"/>
    </font>
    <font>
      <b/>
      <sz val="14"/>
      <color theme="1"/>
      <name val="Calibri"/>
    </font>
    <font>
      <b/>
      <sz val="12"/>
      <name val="Arial"/>
    </font>
    <font>
      <sz val="11"/>
      <color theme="0" tint="-0.14996795556505021"/>
      <name val="Arial"/>
    </font>
    <font>
      <b/>
      <sz val="11"/>
      <color theme="0" tint="-4.9989318521683403E-2"/>
      <name val="Arial"/>
      <family val="2"/>
    </font>
    <font>
      <b/>
      <sz val="11"/>
      <color rgb="FFFFC000"/>
      <name val="Arial"/>
      <family val="2"/>
    </font>
    <font>
      <b/>
      <sz val="11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DE10C1"/>
        <bgColor indexed="64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198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9" fontId="80" fillId="0" borderId="0" applyFont="0" applyFill="0" applyBorder="0" applyAlignment="0" applyProtection="0"/>
  </cellStyleXfs>
  <cellXfs count="320"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9" fontId="5" fillId="0" borderId="0" xfId="1" applyFont="1" applyAlignment="1" applyProtection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7" fillId="0" borderId="0" xfId="1" applyFont="1" applyAlignment="1" applyProtection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1" fontId="22" fillId="5" borderId="9" xfId="0" applyNumberFormat="1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1" fontId="25" fillId="5" borderId="10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0" fontId="11" fillId="7" borderId="0" xfId="0" applyFont="1" applyFill="1"/>
    <xf numFmtId="0" fontId="26" fillId="9" borderId="9" xfId="0" applyFont="1" applyFill="1" applyBorder="1" applyAlignment="1">
      <alignment horizontal="center" vertical="center" wrapText="1"/>
    </xf>
    <xf numFmtId="0" fontId="27" fillId="10" borderId="9" xfId="0" applyFont="1" applyFill="1" applyBorder="1" applyAlignment="1">
      <alignment vertical="center" wrapText="1"/>
    </xf>
    <xf numFmtId="1" fontId="24" fillId="5" borderId="9" xfId="0" applyNumberFormat="1" applyFont="1" applyFill="1" applyBorder="1" applyAlignment="1">
      <alignment horizontal="center" vertical="center"/>
    </xf>
    <xf numFmtId="1" fontId="29" fillId="5" borderId="9" xfId="0" applyNumberFormat="1" applyFont="1" applyFill="1" applyBorder="1" applyAlignment="1">
      <alignment horizontal="center" vertical="center"/>
    </xf>
    <xf numFmtId="1" fontId="30" fillId="2" borderId="9" xfId="0" applyNumberFormat="1" applyFont="1" applyFill="1" applyBorder="1" applyAlignment="1">
      <alignment horizontal="center" vertical="center"/>
    </xf>
    <xf numFmtId="0" fontId="31" fillId="9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0" xfId="0" applyFont="1" applyFill="1"/>
    <xf numFmtId="0" fontId="3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4" fillId="12" borderId="0" xfId="0" applyFont="1" applyFill="1" applyAlignment="1">
      <alignment vertical="center"/>
    </xf>
    <xf numFmtId="0" fontId="35" fillId="12" borderId="0" xfId="0" applyFont="1" applyFill="1" applyAlignment="1">
      <alignment vertical="center"/>
    </xf>
    <xf numFmtId="0" fontId="34" fillId="12" borderId="0" xfId="0" applyFont="1" applyFill="1" applyAlignment="1">
      <alignment horizontal="center" vertical="center"/>
    </xf>
    <xf numFmtId="0" fontId="36" fillId="12" borderId="0" xfId="0" applyFont="1" applyFill="1" applyAlignment="1">
      <alignment vertical="center"/>
    </xf>
    <xf numFmtId="0" fontId="38" fillId="12" borderId="0" xfId="0" applyFont="1" applyFill="1" applyAlignment="1">
      <alignment vertical="center"/>
    </xf>
    <xf numFmtId="0" fontId="40" fillId="12" borderId="0" xfId="0" applyFont="1" applyFill="1" applyAlignment="1">
      <alignment vertical="center"/>
    </xf>
    <xf numFmtId="0" fontId="17" fillId="3" borderId="21" xfId="0" applyFont="1" applyFill="1" applyBorder="1" applyAlignment="1">
      <alignment horizontal="center" vertical="center"/>
    </xf>
    <xf numFmtId="16" fontId="17" fillId="3" borderId="22" xfId="0" applyNumberFormat="1" applyFont="1" applyFill="1" applyBorder="1" applyAlignment="1" applyProtection="1">
      <alignment horizontal="center" vertical="center"/>
      <protection locked="0"/>
    </xf>
    <xf numFmtId="16" fontId="17" fillId="3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1" fontId="22" fillId="0" borderId="9" xfId="0" applyNumberFormat="1" applyFont="1" applyBorder="1" applyAlignment="1">
      <alignment horizontal="center" vertical="center"/>
    </xf>
    <xf numFmtId="1" fontId="26" fillId="0" borderId="9" xfId="0" applyNumberFormat="1" applyFont="1" applyBorder="1" applyAlignment="1">
      <alignment horizontal="center" vertical="center"/>
    </xf>
    <xf numFmtId="0" fontId="24" fillId="0" borderId="9" xfId="0" applyFont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7" fillId="0" borderId="0" xfId="0" applyFont="1" applyAlignment="1">
      <alignment vertical="center"/>
    </xf>
    <xf numFmtId="9" fontId="32" fillId="0" borderId="0" xfId="1" applyFont="1" applyFill="1" applyAlignment="1" applyProtection="1">
      <alignment horizontal="center" vertical="center"/>
    </xf>
    <xf numFmtId="0" fontId="41" fillId="0" borderId="0" xfId="0" applyFont="1" applyAlignment="1">
      <alignment horizontal="center" vertical="center"/>
    </xf>
    <xf numFmtId="9" fontId="44" fillId="0" borderId="0" xfId="1" applyFont="1" applyFill="1" applyAlignment="1" applyProtection="1">
      <alignment horizontal="left" vertical="center"/>
    </xf>
    <xf numFmtId="0" fontId="48" fillId="0" borderId="0" xfId="0" applyFont="1" applyAlignment="1">
      <alignment vertical="center" wrapText="1" readingOrder="1"/>
    </xf>
    <xf numFmtId="9" fontId="14" fillId="0" borderId="0" xfId="1" applyFont="1" applyFill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9" fontId="49" fillId="0" borderId="0" xfId="1" applyFont="1" applyFill="1" applyAlignment="1" applyProtection="1">
      <alignment horizontal="center" vertical="center"/>
    </xf>
    <xf numFmtId="0" fontId="50" fillId="0" borderId="0" xfId="0" applyFont="1" applyAlignment="1">
      <alignment horizontal="center" vertical="center" wrapText="1" readingOrder="1"/>
    </xf>
    <xf numFmtId="0" fontId="51" fillId="0" borderId="0" xfId="0" applyFont="1" applyAlignment="1">
      <alignment horizontal="center" vertical="center"/>
    </xf>
    <xf numFmtId="0" fontId="50" fillId="0" borderId="0" xfId="0" applyFont="1" applyAlignment="1">
      <alignment vertical="center" wrapText="1" readingOrder="1"/>
    </xf>
    <xf numFmtId="0" fontId="49" fillId="0" borderId="0" xfId="0" applyFont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0" borderId="0" xfId="0" applyFont="1" applyAlignment="1">
      <alignment vertical="center"/>
    </xf>
    <xf numFmtId="0" fontId="56" fillId="2" borderId="0" xfId="0" applyFont="1" applyFill="1" applyAlignment="1">
      <alignment horizontal="center" vertical="center"/>
    </xf>
    <xf numFmtId="0" fontId="57" fillId="2" borderId="20" xfId="0" applyFont="1" applyFill="1" applyBorder="1" applyAlignment="1">
      <alignment horizontal="center" vertical="center"/>
    </xf>
    <xf numFmtId="0" fontId="57" fillId="2" borderId="21" xfId="0" applyFont="1" applyFill="1" applyBorder="1" applyAlignment="1">
      <alignment horizontal="center" vertical="center"/>
    </xf>
    <xf numFmtId="0" fontId="59" fillId="9" borderId="21" xfId="0" applyFont="1" applyFill="1" applyBorder="1" applyAlignment="1">
      <alignment vertical="center" wrapText="1"/>
    </xf>
    <xf numFmtId="0" fontId="54" fillId="10" borderId="9" xfId="0" applyFont="1" applyFill="1" applyBorder="1" applyAlignment="1">
      <alignment vertical="center" wrapText="1"/>
    </xf>
    <xf numFmtId="1" fontId="25" fillId="0" borderId="9" xfId="0" applyNumberFormat="1" applyFont="1" applyBorder="1" applyAlignment="1">
      <alignment horizontal="center" vertical="center"/>
    </xf>
    <xf numFmtId="2" fontId="60" fillId="2" borderId="9" xfId="0" applyNumberFormat="1" applyFont="1" applyFill="1" applyBorder="1" applyAlignment="1">
      <alignment vertical="center"/>
    </xf>
    <xf numFmtId="1" fontId="24" fillId="0" borderId="9" xfId="0" applyNumberFormat="1" applyFont="1" applyBorder="1" applyAlignment="1" applyProtection="1">
      <alignment horizontal="center" vertical="center"/>
      <protection locked="0"/>
    </xf>
    <xf numFmtId="1" fontId="61" fillId="2" borderId="9" xfId="0" applyNumberFormat="1" applyFont="1" applyFill="1" applyBorder="1" applyAlignment="1">
      <alignment vertical="center"/>
    </xf>
    <xf numFmtId="1" fontId="29" fillId="0" borderId="9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0" fillId="12" borderId="0" xfId="0" applyFont="1" applyFill="1" applyAlignment="1">
      <alignment vertical="center"/>
    </xf>
    <xf numFmtId="0" fontId="11" fillId="12" borderId="0" xfId="0" applyFont="1" applyFill="1" applyAlignment="1">
      <alignment vertical="center"/>
    </xf>
    <xf numFmtId="0" fontId="11" fillId="12" borderId="0" xfId="0" applyFont="1" applyFill="1" applyAlignment="1">
      <alignment horizontal="center" vertical="center"/>
    </xf>
    <xf numFmtId="0" fontId="64" fillId="12" borderId="0" xfId="0" applyFont="1" applyFill="1" applyAlignment="1">
      <alignment horizontal="center" vertical="center"/>
    </xf>
    <xf numFmtId="0" fontId="65" fillId="12" borderId="0" xfId="0" applyFont="1" applyFill="1" applyAlignment="1">
      <alignment horizontal="center" vertical="center"/>
    </xf>
    <xf numFmtId="0" fontId="66" fillId="12" borderId="0" xfId="0" applyFont="1" applyFill="1" applyAlignment="1">
      <alignment horizontal="center" vertical="center"/>
    </xf>
    <xf numFmtId="0" fontId="67" fillId="12" borderId="0" xfId="0" applyFont="1" applyFill="1" applyAlignment="1">
      <alignment horizontal="center" vertical="center"/>
    </xf>
    <xf numFmtId="0" fontId="17" fillId="16" borderId="21" xfId="0" applyFont="1" applyFill="1" applyBorder="1" applyAlignment="1">
      <alignment horizontal="center" vertical="center"/>
    </xf>
    <xf numFmtId="16" fontId="17" fillId="16" borderId="9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8" fillId="0" borderId="9" xfId="0" applyFont="1" applyBorder="1" applyAlignment="1" applyProtection="1">
      <alignment horizontal="center" vertical="center" readingOrder="1"/>
      <protection locked="0"/>
    </xf>
    <xf numFmtId="0" fontId="24" fillId="0" borderId="9" xfId="0" applyFont="1" applyBorder="1" applyAlignment="1" applyProtection="1">
      <alignment horizontal="center" vertical="center" readingOrder="1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48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horizontal="center" vertical="center"/>
    </xf>
    <xf numFmtId="0" fontId="31" fillId="12" borderId="0" xfId="0" applyFont="1" applyFill="1" applyAlignment="1">
      <alignment horizontal="center" vertical="center"/>
    </xf>
    <xf numFmtId="0" fontId="64" fillId="12" borderId="0" xfId="0" applyFont="1" applyFill="1" applyAlignment="1">
      <alignment vertical="center"/>
    </xf>
    <xf numFmtId="0" fontId="69" fillId="0" borderId="0" xfId="0" applyFont="1" applyAlignment="1">
      <alignment vertical="center"/>
    </xf>
    <xf numFmtId="0" fontId="18" fillId="15" borderId="9" xfId="0" applyFont="1" applyFill="1" applyBorder="1" applyAlignment="1">
      <alignment horizontal="center" vertical="center" wrapText="1"/>
    </xf>
    <xf numFmtId="0" fontId="54" fillId="10" borderId="18" xfId="0" applyFont="1" applyFill="1" applyBorder="1" applyAlignment="1">
      <alignment vertical="center" wrapText="1"/>
    </xf>
    <xf numFmtId="1" fontId="25" fillId="0" borderId="21" xfId="0" applyNumberFormat="1" applyFont="1" applyBorder="1" applyAlignment="1">
      <alignment horizontal="center" vertical="center"/>
    </xf>
    <xf numFmtId="2" fontId="70" fillId="2" borderId="9" xfId="0" applyNumberFormat="1" applyFont="1" applyFill="1" applyBorder="1" applyAlignment="1">
      <alignment vertical="center"/>
    </xf>
    <xf numFmtId="1" fontId="30" fillId="2" borderId="27" xfId="0" applyNumberFormat="1" applyFont="1" applyFill="1" applyBorder="1" applyAlignment="1">
      <alignment horizontal="center" vertical="center"/>
    </xf>
    <xf numFmtId="0" fontId="71" fillId="0" borderId="0" xfId="0" applyFont="1"/>
    <xf numFmtId="0" fontId="72" fillId="17" borderId="28" xfId="0" applyFont="1" applyFill="1" applyBorder="1" applyAlignment="1">
      <alignment horizontal="right" vertical="center"/>
    </xf>
    <xf numFmtId="0" fontId="72" fillId="17" borderId="29" xfId="0" applyFont="1" applyFill="1" applyBorder="1" applyAlignment="1">
      <alignment horizontal="right" vertical="center"/>
    </xf>
    <xf numFmtId="0" fontId="72" fillId="0" borderId="30" xfId="0" applyFont="1" applyBorder="1" applyAlignment="1">
      <alignment horizontal="right" vertical="center"/>
    </xf>
    <xf numFmtId="0" fontId="72" fillId="0" borderId="31" xfId="0" applyFont="1" applyBorder="1" applyAlignment="1">
      <alignment horizontal="right" vertical="center"/>
    </xf>
    <xf numFmtId="0" fontId="72" fillId="17" borderId="30" xfId="0" applyFont="1" applyFill="1" applyBorder="1" applyAlignment="1">
      <alignment horizontal="right" vertical="center"/>
    </xf>
    <xf numFmtId="0" fontId="72" fillId="17" borderId="31" xfId="0" applyFont="1" applyFill="1" applyBorder="1" applyAlignment="1">
      <alignment horizontal="right" vertical="center"/>
    </xf>
    <xf numFmtId="0" fontId="72" fillId="0" borderId="30" xfId="0" applyFont="1" applyBorder="1" applyAlignment="1">
      <alignment vertical="center"/>
    </xf>
    <xf numFmtId="0" fontId="72" fillId="17" borderId="0" xfId="0" applyFont="1" applyFill="1" applyAlignment="1">
      <alignment horizontal="right" vertical="center"/>
    </xf>
    <xf numFmtId="0" fontId="19" fillId="0" borderId="26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>
      <alignment horizontal="center" vertical="center"/>
    </xf>
    <xf numFmtId="0" fontId="20" fillId="0" borderId="22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1" fontId="22" fillId="0" borderId="22" xfId="0" applyNumberFormat="1" applyFont="1" applyBorder="1" applyAlignment="1">
      <alignment horizontal="center" vertical="center"/>
    </xf>
    <xf numFmtId="0" fontId="23" fillId="0" borderId="22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73" fillId="0" borderId="22" xfId="0" applyFont="1" applyBorder="1" applyAlignment="1" applyProtection="1">
      <alignment vertical="center"/>
      <protection locked="0"/>
    </xf>
    <xf numFmtId="0" fontId="24" fillId="18" borderId="9" xfId="0" applyFont="1" applyFill="1" applyBorder="1" applyAlignment="1" applyProtection="1">
      <alignment horizontal="center" vertical="center"/>
      <protection locked="0"/>
    </xf>
    <xf numFmtId="0" fontId="17" fillId="3" borderId="18" xfId="0" applyFont="1" applyFill="1" applyBorder="1" applyAlignment="1">
      <alignment horizontal="center" vertical="center"/>
    </xf>
    <xf numFmtId="16" fontId="17" fillId="3" borderId="27" xfId="0" applyNumberFormat="1" applyFont="1" applyFill="1" applyBorder="1" applyAlignment="1" applyProtection="1">
      <alignment horizontal="center" vertical="center"/>
      <protection locked="0"/>
    </xf>
    <xf numFmtId="1" fontId="25" fillId="0" borderId="22" xfId="0" applyNumberFormat="1" applyFont="1" applyBorder="1" applyAlignment="1">
      <alignment horizontal="center" vertical="center"/>
    </xf>
    <xf numFmtId="2" fontId="60" fillId="2" borderId="22" xfId="0" applyNumberFormat="1" applyFont="1" applyFill="1" applyBorder="1" applyAlignment="1">
      <alignment vertical="center"/>
    </xf>
    <xf numFmtId="1" fontId="24" fillId="0" borderId="22" xfId="0" applyNumberFormat="1" applyFont="1" applyBorder="1" applyAlignment="1" applyProtection="1">
      <alignment horizontal="center" vertical="center"/>
      <protection locked="0"/>
    </xf>
    <xf numFmtId="1" fontId="61" fillId="2" borderId="22" xfId="0" applyNumberFormat="1" applyFont="1" applyFill="1" applyBorder="1" applyAlignment="1">
      <alignment vertical="center"/>
    </xf>
    <xf numFmtId="1" fontId="29" fillId="0" borderId="22" xfId="0" applyNumberFormat="1" applyFont="1" applyBorder="1" applyAlignment="1">
      <alignment horizontal="center" vertical="center"/>
    </xf>
    <xf numFmtId="1" fontId="30" fillId="2" borderId="14" xfId="0" applyNumberFormat="1" applyFont="1" applyFill="1" applyBorder="1" applyAlignment="1">
      <alignment horizontal="center" vertical="center"/>
    </xf>
    <xf numFmtId="0" fontId="65" fillId="12" borderId="0" xfId="0" applyFont="1" applyFill="1" applyAlignment="1">
      <alignment vertical="center"/>
    </xf>
    <xf numFmtId="0" fontId="66" fillId="12" borderId="0" xfId="0" applyFont="1" applyFill="1" applyAlignment="1">
      <alignment vertical="center"/>
    </xf>
    <xf numFmtId="0" fontId="67" fillId="12" borderId="0" xfId="0" applyFont="1" applyFill="1" applyAlignment="1">
      <alignment vertical="center"/>
    </xf>
    <xf numFmtId="0" fontId="17" fillId="16" borderId="18" xfId="0" applyFont="1" applyFill="1" applyBorder="1" applyAlignment="1">
      <alignment horizontal="center" vertical="center"/>
    </xf>
    <xf numFmtId="16" fontId="17" fillId="16" borderId="27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4" fillId="0" borderId="0" xfId="0" applyFont="1" applyAlignment="1">
      <alignment vertical="center" wrapText="1" readingOrder="1"/>
    </xf>
    <xf numFmtId="16" fontId="17" fillId="16" borderId="21" xfId="0" quotePrefix="1" applyNumberFormat="1" applyFont="1" applyFill="1" applyBorder="1" applyAlignment="1" applyProtection="1">
      <alignment horizontal="center" vertical="center"/>
      <protection locked="0"/>
    </xf>
    <xf numFmtId="16" fontId="17" fillId="16" borderId="18" xfId="0" quotePrefix="1" applyNumberFormat="1" applyFont="1" applyFill="1" applyBorder="1" applyAlignment="1" applyProtection="1">
      <alignment horizontal="center" vertical="center"/>
      <protection locked="0"/>
    </xf>
    <xf numFmtId="16" fontId="58" fillId="8" borderId="21" xfId="0" quotePrefix="1" applyNumberFormat="1" applyFont="1" applyFill="1" applyBorder="1" applyAlignment="1" applyProtection="1">
      <alignment horizontal="center" vertical="center"/>
      <protection locked="0"/>
    </xf>
    <xf numFmtId="16" fontId="17" fillId="3" borderId="21" xfId="0" quotePrefix="1" applyNumberFormat="1" applyFont="1" applyFill="1" applyBorder="1" applyAlignment="1" applyProtection="1">
      <alignment horizontal="center" vertical="center"/>
      <protection locked="0"/>
    </xf>
    <xf numFmtId="16" fontId="17" fillId="3" borderId="18" xfId="0" quotePrefix="1" applyNumberFormat="1" applyFont="1" applyFill="1" applyBorder="1" applyAlignment="1" applyProtection="1">
      <alignment horizontal="center" vertical="center"/>
      <protection locked="0"/>
    </xf>
    <xf numFmtId="16" fontId="17" fillId="3" borderId="9" xfId="0" quotePrefix="1" applyNumberFormat="1" applyFont="1" applyFill="1" applyBorder="1" applyAlignment="1">
      <alignment horizontal="center" vertical="center"/>
    </xf>
    <xf numFmtId="16" fontId="26" fillId="8" borderId="9" xfId="0" quotePrefix="1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 applyProtection="1">
      <alignment horizontal="center" vertical="center" readingOrder="1"/>
      <protection locked="0"/>
    </xf>
    <xf numFmtId="16" fontId="81" fillId="3" borderId="22" xfId="0" applyNumberFormat="1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82" fillId="2" borderId="9" xfId="0" applyFont="1" applyFill="1" applyBorder="1" applyAlignment="1">
      <alignment horizontal="center" vertical="center"/>
    </xf>
    <xf numFmtId="16" fontId="81" fillId="3" borderId="9" xfId="0" quotePrefix="1" applyNumberFormat="1" applyFont="1" applyFill="1" applyBorder="1" applyAlignment="1" applyProtection="1">
      <alignment horizontal="center" vertical="center"/>
      <protection locked="0"/>
    </xf>
    <xf numFmtId="16" fontId="81" fillId="3" borderId="21" xfId="0" quotePrefix="1" applyNumberFormat="1" applyFont="1" applyFill="1" applyBorder="1" applyAlignment="1" applyProtection="1">
      <alignment horizontal="center" vertical="center"/>
      <protection locked="0"/>
    </xf>
    <xf numFmtId="0" fontId="83" fillId="0" borderId="25" xfId="0" applyNumberFormat="1" applyFont="1" applyBorder="1" applyAlignment="1">
      <alignment horizontal="center" vertical="center" wrapText="1" readingOrder="1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1" fontId="84" fillId="2" borderId="27" xfId="0" applyNumberFormat="1" applyFont="1" applyFill="1" applyBorder="1" applyAlignment="1">
      <alignment horizontal="center" vertical="center"/>
    </xf>
    <xf numFmtId="0" fontId="83" fillId="0" borderId="11" xfId="0" applyNumberFormat="1" applyFont="1" applyBorder="1" applyAlignment="1">
      <alignment horizontal="center" vertical="center" wrapText="1" readingOrder="1"/>
    </xf>
    <xf numFmtId="0" fontId="20" fillId="0" borderId="11" xfId="0" applyFont="1" applyBorder="1" applyAlignment="1" applyProtection="1">
      <alignment horizontal="center" vertical="center"/>
      <protection locked="0"/>
    </xf>
    <xf numFmtId="1" fontId="22" fillId="0" borderId="15" xfId="0" applyNumberFormat="1" applyFont="1" applyBorder="1" applyAlignment="1">
      <alignment horizontal="center" vertical="center"/>
    </xf>
    <xf numFmtId="0" fontId="24" fillId="0" borderId="15" xfId="0" applyFont="1" applyBorder="1" applyAlignment="1" applyProtection="1">
      <alignment horizontal="center" vertical="center" wrapText="1" readingOrder="1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2" fontId="70" fillId="2" borderId="22" xfId="0" applyNumberFormat="1" applyFont="1" applyFill="1" applyBorder="1" applyAlignment="1">
      <alignment vertical="center"/>
    </xf>
    <xf numFmtId="1" fontId="84" fillId="2" borderId="14" xfId="0" applyNumberFormat="1" applyFont="1" applyFill="1" applyBorder="1" applyAlignment="1">
      <alignment horizontal="center" vertical="center"/>
    </xf>
    <xf numFmtId="0" fontId="68" fillId="0" borderId="14" xfId="0" applyFont="1" applyBorder="1" applyAlignment="1" applyProtection="1">
      <alignment horizontal="center" vertical="center" wrapText="1" readingOrder="1"/>
      <protection locked="0"/>
    </xf>
    <xf numFmtId="0" fontId="19" fillId="0" borderId="11" xfId="0" applyFont="1" applyBorder="1" applyAlignment="1">
      <alignment horizontal="center" vertical="center"/>
    </xf>
    <xf numFmtId="0" fontId="68" fillId="0" borderId="9" xfId="0" applyFont="1" applyBorder="1" applyAlignment="1" applyProtection="1">
      <alignment horizontal="center" vertical="center" wrapText="1" readingOrder="1"/>
      <protection locked="0"/>
    </xf>
    <xf numFmtId="0" fontId="68" fillId="0" borderId="14" xfId="0" applyFont="1" applyBorder="1" applyAlignment="1" applyProtection="1">
      <alignment horizontal="center" vertical="center" readingOrder="1"/>
      <protection locked="0"/>
    </xf>
    <xf numFmtId="0" fontId="24" fillId="0" borderId="9" xfId="0" applyFont="1" applyBorder="1" applyAlignment="1" applyProtection="1">
      <alignment horizontal="center" vertical="center" wrapText="1" readingOrder="1"/>
      <protection locked="0"/>
    </xf>
    <xf numFmtId="0" fontId="24" fillId="0" borderId="15" xfId="0" applyFont="1" applyBorder="1" applyAlignment="1" applyProtection="1">
      <alignment horizontal="center" vertical="center" readingOrder="1"/>
      <protection locked="0"/>
    </xf>
    <xf numFmtId="0" fontId="85" fillId="0" borderId="11" xfId="0" applyNumberFormat="1" applyFont="1" applyBorder="1" applyAlignment="1">
      <alignment horizontal="center" vertical="center" wrapText="1" readingOrder="1"/>
    </xf>
    <xf numFmtId="0" fontId="86" fillId="0" borderId="11" xfId="0" applyFont="1" applyBorder="1" applyAlignment="1" applyProtection="1">
      <alignment horizontal="center" vertical="center"/>
      <protection locked="0"/>
    </xf>
    <xf numFmtId="1" fontId="87" fillId="0" borderId="15" xfId="0" applyNumberFormat="1" applyFont="1" applyBorder="1" applyAlignment="1">
      <alignment horizontal="center" vertical="center"/>
    </xf>
    <xf numFmtId="0" fontId="88" fillId="0" borderId="15" xfId="0" applyFont="1" applyBorder="1" applyAlignment="1" applyProtection="1">
      <alignment horizontal="center" vertical="center" wrapText="1" readingOrder="1"/>
      <protection locked="0"/>
    </xf>
    <xf numFmtId="0" fontId="88" fillId="0" borderId="14" xfId="0" applyFont="1" applyBorder="1" applyAlignment="1" applyProtection="1">
      <alignment horizontal="center" vertical="center"/>
      <protection locked="0"/>
    </xf>
    <xf numFmtId="0" fontId="88" fillId="0" borderId="11" xfId="0" applyFont="1" applyBorder="1" applyAlignment="1" applyProtection="1">
      <alignment horizontal="center" vertical="center"/>
      <protection locked="0"/>
    </xf>
    <xf numFmtId="0" fontId="88" fillId="0" borderId="15" xfId="0" applyFont="1" applyBorder="1" applyAlignment="1" applyProtection="1">
      <alignment horizontal="center" vertical="center"/>
      <protection locked="0"/>
    </xf>
    <xf numFmtId="0" fontId="88" fillId="0" borderId="22" xfId="0" applyFont="1" applyBorder="1" applyAlignment="1" applyProtection="1">
      <alignment horizontal="center" vertical="center"/>
      <protection locked="0"/>
    </xf>
    <xf numFmtId="0" fontId="88" fillId="0" borderId="22" xfId="0" applyFont="1" applyFill="1" applyBorder="1" applyAlignment="1" applyProtection="1">
      <alignment horizontal="center" vertical="center"/>
      <protection locked="0"/>
    </xf>
    <xf numFmtId="1" fontId="89" fillId="0" borderId="22" xfId="0" applyNumberFormat="1" applyFont="1" applyBorder="1" applyAlignment="1">
      <alignment horizontal="center" vertical="center"/>
    </xf>
    <xf numFmtId="2" fontId="90" fillId="2" borderId="22" xfId="0" applyNumberFormat="1" applyFont="1" applyFill="1" applyBorder="1" applyAlignment="1">
      <alignment vertical="center"/>
    </xf>
    <xf numFmtId="1" fontId="88" fillId="0" borderId="22" xfId="0" applyNumberFormat="1" applyFont="1" applyBorder="1" applyAlignment="1" applyProtection="1">
      <alignment horizontal="center" vertical="center"/>
      <protection locked="0"/>
    </xf>
    <xf numFmtId="1" fontId="91" fillId="2" borderId="22" xfId="0" applyNumberFormat="1" applyFont="1" applyFill="1" applyBorder="1" applyAlignment="1">
      <alignment vertical="center"/>
    </xf>
    <xf numFmtId="1" fontId="92" fillId="0" borderId="22" xfId="0" applyNumberFormat="1" applyFont="1" applyBorder="1" applyAlignment="1">
      <alignment horizontal="center" vertical="center"/>
    </xf>
    <xf numFmtId="1" fontId="93" fillId="2" borderId="14" xfId="0" applyNumberFormat="1" applyFont="1" applyFill="1" applyBorder="1" applyAlignment="1">
      <alignment horizontal="center" vertical="center"/>
    </xf>
    <xf numFmtId="0" fontId="85" fillId="0" borderId="22" xfId="0" applyNumberFormat="1" applyFont="1" applyBorder="1" applyAlignment="1">
      <alignment horizontal="center" vertical="center"/>
    </xf>
    <xf numFmtId="0" fontId="86" fillId="0" borderId="14" xfId="0" applyFont="1" applyBorder="1" applyAlignment="1" applyProtection="1">
      <alignment horizontal="center" vertical="center" readingOrder="1"/>
      <protection locked="0"/>
    </xf>
    <xf numFmtId="0" fontId="86" fillId="0" borderId="14" xfId="0" applyFont="1" applyBorder="1" applyAlignment="1" applyProtection="1">
      <alignment horizontal="center" vertical="center"/>
      <protection locked="0"/>
    </xf>
    <xf numFmtId="0" fontId="86" fillId="0" borderId="15" xfId="0" applyFont="1" applyBorder="1" applyAlignment="1" applyProtection="1">
      <alignment horizontal="center" vertical="center"/>
      <protection locked="0"/>
    </xf>
    <xf numFmtId="1" fontId="94" fillId="0" borderId="22" xfId="0" applyNumberFormat="1" applyFont="1" applyBorder="1" applyAlignment="1">
      <alignment horizontal="center" vertical="center"/>
    </xf>
    <xf numFmtId="2" fontId="95" fillId="2" borderId="22" xfId="0" applyNumberFormat="1" applyFont="1" applyFill="1" applyBorder="1" applyAlignment="1">
      <alignment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 wrapText="1"/>
    </xf>
    <xf numFmtId="0" fontId="82" fillId="2" borderId="21" xfId="0" applyFont="1" applyFill="1" applyBorder="1" applyAlignment="1">
      <alignment horizontal="center" vertical="center"/>
    </xf>
    <xf numFmtId="16" fontId="81" fillId="16" borderId="21" xfId="0" quotePrefix="1" applyNumberFormat="1" applyFont="1" applyFill="1" applyBorder="1" applyAlignment="1" applyProtection="1">
      <alignment horizontal="center" vertical="center"/>
      <protection locked="0"/>
    </xf>
    <xf numFmtId="0" fontId="96" fillId="15" borderId="9" xfId="0" applyFont="1" applyFill="1" applyBorder="1" applyAlignment="1">
      <alignment horizontal="center" vertical="center" wrapText="1"/>
    </xf>
    <xf numFmtId="16" fontId="97" fillId="8" borderId="21" xfId="0" quotePrefix="1" applyNumberFormat="1" applyFont="1" applyFill="1" applyBorder="1" applyAlignment="1" applyProtection="1">
      <alignment horizontal="center" vertical="center"/>
      <protection locked="0"/>
    </xf>
    <xf numFmtId="0" fontId="98" fillId="9" borderId="21" xfId="0" applyFont="1" applyFill="1" applyBorder="1" applyAlignment="1">
      <alignment vertical="center" wrapText="1"/>
    </xf>
    <xf numFmtId="0" fontId="56" fillId="10" borderId="18" xfId="0" applyFont="1" applyFill="1" applyBorder="1" applyAlignment="1">
      <alignment vertical="center" wrapText="1"/>
    </xf>
    <xf numFmtId="0" fontId="33" fillId="11" borderId="12" xfId="0" applyFont="1" applyFill="1" applyBorder="1" applyAlignment="1">
      <alignment horizontal="center" vertical="center" wrapText="1"/>
    </xf>
    <xf numFmtId="0" fontId="33" fillId="11" borderId="13" xfId="0" applyFont="1" applyFill="1" applyBorder="1" applyAlignment="1">
      <alignment horizontal="center" vertical="center" wrapText="1"/>
    </xf>
    <xf numFmtId="0" fontId="33" fillId="11" borderId="23" xfId="0" applyFont="1" applyFill="1" applyBorder="1" applyAlignment="1">
      <alignment horizontal="center" vertical="center" wrapText="1"/>
    </xf>
    <xf numFmtId="0" fontId="27" fillId="15" borderId="24" xfId="0" applyFont="1" applyFill="1" applyBorder="1" applyAlignment="1">
      <alignment horizontal="center" vertical="center" wrapText="1"/>
    </xf>
    <xf numFmtId="0" fontId="27" fillId="15" borderId="21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27" fillId="9" borderId="24" xfId="0" applyFont="1" applyFill="1" applyBorder="1" applyAlignment="1">
      <alignment horizontal="center" vertical="center" wrapText="1"/>
    </xf>
    <xf numFmtId="0" fontId="54" fillId="2" borderId="24" xfId="0" applyFont="1" applyFill="1" applyBorder="1" applyAlignment="1">
      <alignment horizontal="center" vertical="center" wrapText="1"/>
    </xf>
    <xf numFmtId="0" fontId="37" fillId="14" borderId="14" xfId="0" applyFont="1" applyFill="1" applyBorder="1" applyAlignment="1">
      <alignment horizontal="center" vertical="center" wrapText="1"/>
    </xf>
    <xf numFmtId="0" fontId="37" fillId="14" borderId="11" xfId="0" applyFont="1" applyFill="1" applyBorder="1" applyAlignment="1">
      <alignment horizontal="center" vertical="center" wrapText="1"/>
    </xf>
    <xf numFmtId="0" fontId="37" fillId="14" borderId="15" xfId="0" applyFont="1" applyFill="1" applyBorder="1" applyAlignment="1">
      <alignment horizontal="center" vertical="center" wrapText="1"/>
    </xf>
    <xf numFmtId="0" fontId="37" fillId="14" borderId="16" xfId="0" applyFont="1" applyFill="1" applyBorder="1" applyAlignment="1">
      <alignment horizontal="center" vertical="center" wrapText="1"/>
    </xf>
    <xf numFmtId="0" fontId="37" fillId="14" borderId="0" xfId="0" applyFont="1" applyFill="1" applyAlignment="1">
      <alignment horizontal="center" vertical="center" wrapText="1"/>
    </xf>
    <xf numFmtId="0" fontId="37" fillId="14" borderId="17" xfId="0" applyFont="1" applyFill="1" applyBorder="1" applyAlignment="1">
      <alignment horizontal="center" vertical="center" wrapText="1"/>
    </xf>
    <xf numFmtId="0" fontId="37" fillId="14" borderId="18" xfId="0" applyFont="1" applyFill="1" applyBorder="1" applyAlignment="1">
      <alignment horizontal="center" vertical="center" wrapText="1"/>
    </xf>
    <xf numFmtId="0" fontId="37" fillId="14" borderId="19" xfId="0" applyFont="1" applyFill="1" applyBorder="1" applyAlignment="1">
      <alignment horizontal="center" vertical="center" wrapText="1"/>
    </xf>
    <xf numFmtId="0" fontId="37" fillId="14" borderId="20" xfId="0" applyFont="1" applyFill="1" applyBorder="1" applyAlignment="1">
      <alignment horizontal="center" vertical="center" wrapText="1"/>
    </xf>
    <xf numFmtId="0" fontId="39" fillId="15" borderId="14" xfId="0" applyFont="1" applyFill="1" applyBorder="1" applyAlignment="1">
      <alignment horizontal="center" vertical="center"/>
    </xf>
    <xf numFmtId="0" fontId="39" fillId="15" borderId="11" xfId="0" applyFont="1" applyFill="1" applyBorder="1" applyAlignment="1">
      <alignment horizontal="center" vertical="center"/>
    </xf>
    <xf numFmtId="0" fontId="39" fillId="15" borderId="15" xfId="0" applyFont="1" applyFill="1" applyBorder="1" applyAlignment="1">
      <alignment horizontal="center" vertical="center"/>
    </xf>
    <xf numFmtId="0" fontId="39" fillId="15" borderId="18" xfId="0" applyFont="1" applyFill="1" applyBorder="1" applyAlignment="1">
      <alignment horizontal="center" vertical="center"/>
    </xf>
    <xf numFmtId="0" fontId="39" fillId="15" borderId="19" xfId="0" applyFont="1" applyFill="1" applyBorder="1" applyAlignment="1">
      <alignment horizontal="center" vertical="center"/>
    </xf>
    <xf numFmtId="0" fontId="39" fillId="15" borderId="20" xfId="0" applyFont="1" applyFill="1" applyBorder="1" applyAlignment="1">
      <alignment horizontal="center" vertical="center"/>
    </xf>
    <xf numFmtId="0" fontId="36" fillId="12" borderId="0" xfId="0" applyFont="1" applyFill="1" applyAlignment="1">
      <alignment horizontal="right" vertical="center"/>
    </xf>
    <xf numFmtId="0" fontId="27" fillId="13" borderId="24" xfId="0" applyFont="1" applyFill="1" applyBorder="1" applyAlignment="1">
      <alignment horizontal="center" vertical="center" wrapText="1"/>
    </xf>
    <xf numFmtId="0" fontId="27" fillId="13" borderId="21" xfId="0" applyFont="1" applyFill="1" applyBorder="1" applyAlignment="1">
      <alignment horizontal="center" vertical="center" wrapText="1"/>
    </xf>
    <xf numFmtId="0" fontId="37" fillId="13" borderId="14" xfId="0" applyFont="1" applyFill="1" applyBorder="1" applyAlignment="1">
      <alignment horizontal="center" vertical="center" wrapText="1"/>
    </xf>
    <xf numFmtId="0" fontId="37" fillId="13" borderId="11" xfId="0" applyFont="1" applyFill="1" applyBorder="1" applyAlignment="1">
      <alignment horizontal="center" vertical="center" wrapText="1"/>
    </xf>
    <xf numFmtId="0" fontId="37" fillId="13" borderId="15" xfId="0" applyFont="1" applyFill="1" applyBorder="1" applyAlignment="1">
      <alignment horizontal="center" vertical="center" wrapText="1"/>
    </xf>
    <xf numFmtId="0" fontId="37" fillId="13" borderId="16" xfId="0" applyFont="1" applyFill="1" applyBorder="1" applyAlignment="1">
      <alignment horizontal="center" vertical="center" wrapText="1"/>
    </xf>
    <xf numFmtId="0" fontId="37" fillId="13" borderId="0" xfId="0" applyFont="1" applyFill="1" applyAlignment="1">
      <alignment horizontal="center" vertical="center" wrapText="1"/>
    </xf>
    <xf numFmtId="0" fontId="37" fillId="13" borderId="17" xfId="0" applyFont="1" applyFill="1" applyBorder="1" applyAlignment="1">
      <alignment horizontal="center" vertical="center" wrapText="1"/>
    </xf>
    <xf numFmtId="0" fontId="37" fillId="13" borderId="18" xfId="0" applyFont="1" applyFill="1" applyBorder="1" applyAlignment="1">
      <alignment horizontal="center" vertical="center" wrapText="1"/>
    </xf>
    <xf numFmtId="0" fontId="37" fillId="13" borderId="19" xfId="0" applyFont="1" applyFill="1" applyBorder="1" applyAlignment="1">
      <alignment horizontal="center" vertical="center" wrapText="1"/>
    </xf>
    <xf numFmtId="0" fontId="37" fillId="13" borderId="20" xfId="0" applyFont="1" applyFill="1" applyBorder="1" applyAlignment="1">
      <alignment horizontal="center" vertical="center" wrapText="1"/>
    </xf>
    <xf numFmtId="0" fontId="39" fillId="13" borderId="14" xfId="0" applyFont="1" applyFill="1" applyBorder="1" applyAlignment="1">
      <alignment horizontal="center" vertical="center"/>
    </xf>
    <xf numFmtId="0" fontId="39" fillId="13" borderId="11" xfId="0" applyFont="1" applyFill="1" applyBorder="1" applyAlignment="1">
      <alignment horizontal="center" vertical="center"/>
    </xf>
    <xf numFmtId="0" fontId="39" fillId="13" borderId="15" xfId="0" applyFont="1" applyFill="1" applyBorder="1" applyAlignment="1">
      <alignment horizontal="center" vertical="center"/>
    </xf>
    <xf numFmtId="0" fontId="39" fillId="13" borderId="18" xfId="0" applyFont="1" applyFill="1" applyBorder="1" applyAlignment="1">
      <alignment horizontal="center" vertical="center"/>
    </xf>
    <xf numFmtId="0" fontId="39" fillId="13" borderId="19" xfId="0" applyFont="1" applyFill="1" applyBorder="1" applyAlignment="1">
      <alignment horizontal="center" vertical="center"/>
    </xf>
    <xf numFmtId="0" fontId="39" fillId="13" borderId="20" xfId="0" applyFont="1" applyFill="1" applyBorder="1" applyAlignment="1">
      <alignment horizontal="center" vertical="center"/>
    </xf>
    <xf numFmtId="0" fontId="54" fillId="2" borderId="9" xfId="0" applyFont="1" applyFill="1" applyBorder="1" applyAlignment="1">
      <alignment horizontal="center" vertical="center" wrapText="1"/>
    </xf>
    <xf numFmtId="16" fontId="28" fillId="8" borderId="11" xfId="0" quotePrefix="1" applyNumberFormat="1" applyFont="1" applyFill="1" applyBorder="1" applyAlignment="1">
      <alignment horizontal="center" vertical="center" wrapText="1"/>
    </xf>
    <xf numFmtId="16" fontId="28" fillId="8" borderId="11" xfId="0" applyNumberFormat="1" applyFont="1" applyFill="1" applyBorder="1" applyAlignment="1">
      <alignment horizontal="center" vertical="center" wrapText="1"/>
    </xf>
    <xf numFmtId="16" fontId="28" fillId="8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5" fillId="0" borderId="9" xfId="0" applyNumberFormat="1" applyFont="1" applyBorder="1" applyAlignment="1">
      <alignment horizontal="center" vertical="center"/>
    </xf>
    <xf numFmtId="1" fontId="94" fillId="0" borderId="9" xfId="0" applyNumberFormat="1" applyFont="1" applyBorder="1" applyAlignment="1">
      <alignment horizontal="center" vertical="center"/>
    </xf>
    <xf numFmtId="0" fontId="88" fillId="0" borderId="9" xfId="0" applyFont="1" applyBorder="1" applyAlignment="1" applyProtection="1">
      <alignment horizontal="center" vertical="center"/>
      <protection locked="0"/>
    </xf>
    <xf numFmtId="1" fontId="89" fillId="0" borderId="9" xfId="0" applyNumberFormat="1" applyFont="1" applyBorder="1" applyAlignment="1">
      <alignment horizontal="center" vertical="center"/>
    </xf>
    <xf numFmtId="2" fontId="95" fillId="2" borderId="9" xfId="0" applyNumberFormat="1" applyFont="1" applyFill="1" applyBorder="1" applyAlignment="1">
      <alignment vertical="center"/>
    </xf>
    <xf numFmtId="1" fontId="88" fillId="0" borderId="9" xfId="0" applyNumberFormat="1" applyFont="1" applyBorder="1" applyAlignment="1" applyProtection="1">
      <alignment horizontal="center" vertical="center"/>
      <protection locked="0"/>
    </xf>
    <xf numFmtId="1" fontId="91" fillId="2" borderId="9" xfId="0" applyNumberFormat="1" applyFont="1" applyFill="1" applyBorder="1" applyAlignment="1">
      <alignment vertical="center"/>
    </xf>
    <xf numFmtId="1" fontId="92" fillId="0" borderId="9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86" fillId="0" borderId="9" xfId="0" applyFont="1" applyBorder="1" applyAlignment="1" applyProtection="1">
      <alignment horizontal="center" vertical="center" readingOrder="1"/>
      <protection locked="0"/>
    </xf>
    <xf numFmtId="0" fontId="20" fillId="0" borderId="14" xfId="0" applyFont="1" applyBorder="1" applyAlignment="1" applyProtection="1">
      <alignment horizontal="center" vertical="center" readingOrder="1"/>
      <protection locked="0"/>
    </xf>
    <xf numFmtId="0" fontId="86" fillId="0" borderId="9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1" fontId="87" fillId="0" borderId="9" xfId="0" applyNumberFormat="1" applyFont="1" applyBorder="1" applyAlignment="1">
      <alignment horizontal="center" vertical="center"/>
    </xf>
    <xf numFmtId="1" fontId="26" fillId="0" borderId="22" xfId="0" applyNumberFormat="1" applyFont="1" applyBorder="1" applyAlignment="1">
      <alignment horizontal="center" vertical="center"/>
    </xf>
    <xf numFmtId="1" fontId="93" fillId="2" borderId="9" xfId="0" applyNumberFormat="1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120">
    <dxf>
      <fill>
        <patternFill patternType="solid">
          <bgColor theme="1" tint="0.499984740745262"/>
        </patternFill>
      </fill>
    </dxf>
    <dxf>
      <font>
        <b/>
        <i val="0"/>
        <strike val="0"/>
        <u val="none"/>
        <sz val="14"/>
        <color theme="1"/>
        <name val="Calibri"/>
        <scheme val="none"/>
      </font>
      <numFmt numFmtId="1" formatCode="0"/>
      <fill>
        <patternFill patternType="solid">
          <bgColor theme="0" tint="-0.14996795556505021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4"/>
        <color rgb="FFFF000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Arial"/>
        <scheme val="none"/>
      </font>
      <numFmt numFmtId="1" formatCode="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1"/>
        <color theme="0" tint="-0.14996795556505021"/>
        <name val="Arial"/>
        <scheme val="none"/>
      </font>
      <numFmt numFmtId="2" formatCode="0.0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3"/>
        <color rgb="FF0070C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auto="1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rgb="FF0070C0"/>
        <name val="Arial"/>
        <scheme val="none"/>
      </font>
      <numFmt numFmtId="1" formatCode="0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indexed="8"/>
        <name val="Arial"/>
        <scheme val="none"/>
      </font>
      <alignment horizontal="center" vertical="center"/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readingOrder="1"/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4"/>
        <color rgb="FFFF0000"/>
        <name val="Calibri"/>
        <scheme val="none"/>
      </font>
      <numFmt numFmtId="0" formatCode="General"/>
      <alignment horizontal="center" vertical="center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</dxf>
    <dxf>
      <alignment horizontal="center" vertical="center"/>
    </dxf>
    <dxf>
      <fill>
        <patternFill patternType="solid">
          <bgColor theme="1" tint="0.499984740745262"/>
        </patternFill>
      </fill>
    </dxf>
    <dxf>
      <font>
        <b/>
        <i val="0"/>
        <strike val="0"/>
        <u val="none"/>
        <sz val="14"/>
        <color theme="1"/>
        <name val="Calibri"/>
        <scheme val="none"/>
      </font>
      <numFmt numFmtId="1" formatCode="0"/>
      <fill>
        <patternFill patternType="solid">
          <bgColor theme="0" tint="-0.14996795556505021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4"/>
        <color rgb="FFFF000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Arial"/>
        <scheme val="none"/>
      </font>
      <numFmt numFmtId="1" formatCode="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8"/>
        <color theme="0" tint="-0.14996795556505021"/>
        <name val="Arial"/>
        <scheme val="none"/>
      </font>
      <numFmt numFmtId="2" formatCode="0.0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3"/>
        <color rgb="FF0070C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 readingOrder="1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rgb="FF0070C0"/>
        <name val="Arial"/>
        <scheme val="none"/>
      </font>
      <numFmt numFmtId="1" formatCode="0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9"/>
        <color indexed="8"/>
        <name val="Arial"/>
        <scheme val="none"/>
      </font>
      <alignment vertical="top" readingOrder="1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4"/>
        <color rgb="FFFF0000"/>
        <name val="Calibri"/>
        <scheme val="none"/>
      </font>
      <numFmt numFmtId="0" formatCode="General"/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</dxf>
    <dxf>
      <fill>
        <patternFill patternType="solid">
          <bgColor theme="1" tint="0.499984740745262"/>
        </patternFill>
      </fill>
    </dxf>
    <dxf>
      <font>
        <strike val="0"/>
        <u val="none"/>
        <color auto="1"/>
        <name val="Calibri"/>
        <scheme val="none"/>
      </font>
    </dxf>
    <dxf>
      <font>
        <strike val="0"/>
        <u val="none"/>
        <color auto="1"/>
        <name val="Calibri"/>
        <scheme val="none"/>
      </font>
    </dxf>
    <dxf>
      <font>
        <b/>
        <i val="0"/>
        <strike val="0"/>
        <u val="none"/>
        <sz val="14"/>
        <color theme="1"/>
        <name val="Calibri"/>
        <scheme val="none"/>
      </font>
      <numFmt numFmtId="1" formatCode="0"/>
      <fill>
        <patternFill patternType="solid">
          <bgColor theme="0" tint="-0.14996795556505021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4"/>
        <color rgb="FFFF000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Arial"/>
        <scheme val="none"/>
      </font>
      <numFmt numFmtId="1" formatCode="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1"/>
        <color theme="0" tint="-0.14996795556505021"/>
        <name val="Arial"/>
        <scheme val="none"/>
      </font>
      <numFmt numFmtId="2" formatCode="0.0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3"/>
        <color rgb="FF0070C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strike val="0"/>
        <u val="none"/>
        <sz val="10"/>
        <color indexed="8"/>
        <name val="Arial"/>
        <scheme val="none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strike val="0"/>
        <u val="none"/>
        <sz val="10"/>
        <color indexed="8"/>
        <name val="Arial"/>
        <scheme val="none"/>
      </font>
      <alignment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2"/>
        <color theme="1"/>
        <name val="Calibri"/>
        <scheme val="none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rgb="FF0070C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indexed="8"/>
        <name val="Arial"/>
        <scheme val="none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4"/>
        <color rgb="FFFF0000"/>
        <name val="Calibri"/>
        <scheme val="none"/>
      </font>
      <numFmt numFmtId="0" formatCode="General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1" tint="0.499984740745262"/>
        </patternFill>
      </fill>
    </dxf>
    <dxf>
      <font>
        <b/>
        <i val="0"/>
        <strike val="0"/>
        <u val="none"/>
        <sz val="14"/>
        <color theme="1"/>
        <name val="Calibri"/>
        <scheme val="none"/>
      </font>
      <numFmt numFmtId="1" formatCode="0"/>
      <fill>
        <patternFill patternType="solid">
          <bgColor theme="0" tint="-0.14996795556505021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4"/>
        <color rgb="FFFF000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Arial"/>
        <scheme val="none"/>
      </font>
      <numFmt numFmtId="1" formatCode="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8"/>
        <color theme="0" tint="-0.14996795556505021"/>
        <name val="Arial"/>
        <scheme val="none"/>
      </font>
      <numFmt numFmtId="2" formatCode="0.0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3"/>
        <color rgb="FF0070C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strike val="0"/>
        <u val="none"/>
        <sz val="10"/>
        <color indexed="8"/>
        <name val="Arial"/>
        <scheme val="none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strike val="0"/>
        <u val="none"/>
        <sz val="10"/>
        <color indexed="8"/>
        <name val="Arial"/>
        <scheme val="none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strike val="0"/>
        <u val="none"/>
        <sz val="10"/>
        <color indexed="8"/>
        <name val="Arial"/>
        <scheme val="none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2"/>
        <color theme="1"/>
        <name val="Calibri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rgb="FF0070C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indexed="8"/>
        <name val="Arial"/>
        <scheme val="none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4"/>
        <color rgb="FFFF0000"/>
        <name val="Calibri"/>
        <scheme val="none"/>
      </font>
      <numFmt numFmtId="0" formatCode="General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1" tint="0.499984740745262"/>
        </patternFill>
      </fill>
    </dxf>
  </dxfs>
  <tableStyles count="0" defaultTableStyle="TableStyleMedium9" defaultPivotStyle="PivotStyleLight16"/>
  <colors>
    <mruColors>
      <color rgb="FFEF1984"/>
      <color rgb="FFDE10C1"/>
      <color rgb="FFF18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733452</xdr:colOff>
      <xdr:row>0</xdr:row>
      <xdr:rowOff>123801</xdr:rowOff>
    </xdr:from>
    <xdr:to>
      <xdr:col>5</xdr:col>
      <xdr:colOff>592614</xdr:colOff>
      <xdr:row>0</xdr:row>
      <xdr:rowOff>816428</xdr:rowOff>
    </xdr:to>
    <xdr:pic>
      <xdr:nvPicPr>
        <xdr:cNvPr id="4" name="Immagine 3" descr="FIG_unico_piccolo_e_grande_0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8425" y="123190"/>
          <a:ext cx="687705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105835</xdr:colOff>
      <xdr:row>0</xdr:row>
      <xdr:rowOff>31749</xdr:rowOff>
    </xdr:from>
    <xdr:to>
      <xdr:col>17</xdr:col>
      <xdr:colOff>127003</xdr:colOff>
      <xdr:row>0</xdr:row>
      <xdr:rowOff>867832</xdr:rowOff>
    </xdr:to>
    <xdr:pic>
      <xdr:nvPicPr>
        <xdr:cNvPr id="7" name="Immagine 6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0" b="96139" l="3475" r="95367">
                      <a14:foregroundMark x1="32046" y1="10425" x2="18147" y2="20463"/>
                      <a14:foregroundMark x1="18147" y1="20463" x2="12741" y2="30116"/>
                      <a14:foregroundMark x1="12741" y1="30116" x2="9266" y2="56371"/>
                      <a14:foregroundMark x1="9266" y1="56371" x2="15058" y2="71815"/>
                      <a14:foregroundMark x1="15058" y1="71815" x2="30888" y2="85714"/>
                      <a14:foregroundMark x1="30888" y1="85714" x2="44015" y2="90347"/>
                      <a14:foregroundMark x1="44015" y1="90347" x2="59073" y2="91892"/>
                      <a14:foregroundMark x1="59073" y1="91892" x2="76448" y2="84556"/>
                      <a14:foregroundMark x1="76448" y1="84556" x2="88417" y2="57529"/>
                      <a14:foregroundMark x1="88417" y1="57529" x2="88803" y2="38224"/>
                      <a14:foregroundMark x1="88803" y1="38224" x2="84556" y2="27413"/>
                      <a14:foregroundMark x1="84556" y1="27413" x2="71042" y2="14672"/>
                      <a14:foregroundMark x1="71042" y1="14672" x2="61776" y2="9653"/>
                      <a14:foregroundMark x1="61776" y1="9653" x2="52124" y2="7722"/>
                      <a14:foregroundMark x1="52124" y1="7722" x2="31660" y2="10425"/>
                      <a14:foregroundMark x1="56371" y1="3861" x2="54826" y2="2703"/>
                      <a14:foregroundMark x1="43629" y1="2703" x2="40927" y2="3475"/>
                      <a14:foregroundMark x1="31274" y1="7722" x2="30116" y2="7722"/>
                      <a14:foregroundMark x1="25097" y1="12355" x2="21622" y2="14672"/>
                      <a14:foregroundMark x1="18533" y1="16216" x2="15444" y2="21236"/>
                      <a14:foregroundMark x1="15058" y1="22008" x2="15058" y2="22008"/>
                      <a14:foregroundMark x1="9266" y1="30888" x2="5405" y2="40154"/>
                      <a14:foregroundMark x1="5019" y1="44015" x2="5019" y2="49035"/>
                      <a14:foregroundMark x1="7722" y1="56757" x2="10811" y2="66409"/>
                      <a14:foregroundMark x1="10811" y1="66409" x2="10811" y2="66409"/>
                      <a14:foregroundMark x1="10811" y1="68340" x2="10811" y2="68340"/>
                      <a14:foregroundMark x1="11197" y1="70270" x2="14672" y2="77220"/>
                      <a14:foregroundMark x1="16216" y1="78378" x2="18919" y2="81853"/>
                      <a14:foregroundMark x1="23166" y1="85714" x2="25869" y2="87259"/>
                      <a14:foregroundMark x1="28185" y1="87645" x2="29730" y2="89575"/>
                      <a14:foregroundMark x1="30502" y1="89961" x2="31274" y2="90734"/>
                      <a14:foregroundMark x1="26255" y1="89189" x2="24710" y2="88031"/>
                      <a14:foregroundMark x1="23552" y1="86873" x2="19305" y2="83012"/>
                      <a14:foregroundMark x1="18147" y1="81853" x2="16216" y2="79923"/>
                      <a14:foregroundMark x1="35135" y1="91506" x2="38224" y2="94595"/>
                      <a14:foregroundMark x1="40154" y1="94595" x2="47104" y2="96139"/>
                      <a14:foregroundMark x1="51737" y1="96139" x2="55598" y2="96525"/>
                      <a14:foregroundMark x1="59073" y1="96911" x2="61390" y2="95367"/>
                      <a14:foregroundMark x1="65251" y1="91506" x2="65251" y2="91506"/>
                      <a14:foregroundMark x1="70656" y1="90734" x2="73359" y2="88803"/>
                      <a14:foregroundMark x1="77220" y1="85714" x2="79923" y2="82625"/>
                      <a14:foregroundMark x1="83012" y1="77606" x2="84556" y2="76062"/>
                      <a14:foregroundMark x1="89575" y1="68340" x2="90347" y2="66409"/>
                      <a14:foregroundMark x1="90347" y1="66409" x2="90347" y2="66409"/>
                      <a14:foregroundMark x1="94595" y1="54054" x2="94981" y2="49035"/>
                      <a14:foregroundMark x1="95367" y1="38996" x2="95367" y2="38996"/>
                      <a14:foregroundMark x1="95367" y1="38996" x2="94595" y2="37452"/>
                      <a14:foregroundMark x1="93050" y1="30116" x2="92664" y2="27799"/>
                      <a14:foregroundMark x1="83398" y1="22008" x2="83398" y2="22008"/>
                      <a14:foregroundMark x1="77606" y1="15830" x2="76834" y2="15444"/>
                      <a14:foregroundMark x1="74903" y1="13900" x2="71815" y2="12355"/>
                      <a14:foregroundMark x1="71429" y1="11969" x2="71429" y2="11969"/>
                      <a14:foregroundMark x1="71429" y1="11969" x2="65637" y2="10425"/>
                      <a14:foregroundMark x1="54054" y1="5019" x2="53025" y2="4916"/>
                      <a14:foregroundMark x1="41699" y1="10425" x2="40541" y2="44788"/>
                      <a14:foregroundMark x1="40541" y1="44788" x2="43243" y2="57915"/>
                      <a14:foregroundMark x1="43243" y1="57915" x2="56757" y2="51737"/>
                      <a14:foregroundMark x1="56757" y1="51737" x2="58301" y2="50193"/>
                      <a14:backgroundMark x1="46332" y1="0" x2="55985" y2="3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7935" y="31115"/>
          <a:ext cx="859790" cy="836295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855916</xdr:colOff>
      <xdr:row>0</xdr:row>
      <xdr:rowOff>123801</xdr:rowOff>
    </xdr:from>
    <xdr:to>
      <xdr:col>5</xdr:col>
      <xdr:colOff>633435</xdr:colOff>
      <xdr:row>0</xdr:row>
      <xdr:rowOff>816428</xdr:rowOff>
    </xdr:to>
    <xdr:pic>
      <xdr:nvPicPr>
        <xdr:cNvPr id="5" name="Immagine 4" descr="FIG_unico_piccolo_e_grande_0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84620" y="123190"/>
          <a:ext cx="682625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40821</xdr:colOff>
      <xdr:row>0</xdr:row>
      <xdr:rowOff>68035</xdr:rowOff>
    </xdr:from>
    <xdr:to>
      <xdr:col>17</xdr:col>
      <xdr:colOff>61988</xdr:colOff>
      <xdr:row>0</xdr:row>
      <xdr:rowOff>904118</xdr:rowOff>
    </xdr:to>
    <xdr:pic>
      <xdr:nvPicPr>
        <xdr:cNvPr id="9" name="Immagine 8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0" b="96139" l="3475" r="95367">
                      <a14:foregroundMark x1="32046" y1="10425" x2="18147" y2="20463"/>
                      <a14:foregroundMark x1="18147" y1="20463" x2="12741" y2="30116"/>
                      <a14:foregroundMark x1="12741" y1="30116" x2="9266" y2="56371"/>
                      <a14:foregroundMark x1="9266" y1="56371" x2="15058" y2="71815"/>
                      <a14:foregroundMark x1="15058" y1="71815" x2="30888" y2="85714"/>
                      <a14:foregroundMark x1="30888" y1="85714" x2="44015" y2="90347"/>
                      <a14:foregroundMark x1="44015" y1="90347" x2="59073" y2="91892"/>
                      <a14:foregroundMark x1="59073" y1="91892" x2="76448" y2="84556"/>
                      <a14:foregroundMark x1="76448" y1="84556" x2="88417" y2="57529"/>
                      <a14:foregroundMark x1="88417" y1="57529" x2="88803" y2="38224"/>
                      <a14:foregroundMark x1="88803" y1="38224" x2="84556" y2="27413"/>
                      <a14:foregroundMark x1="84556" y1="27413" x2="71042" y2="14672"/>
                      <a14:foregroundMark x1="71042" y1="14672" x2="61776" y2="9653"/>
                      <a14:foregroundMark x1="61776" y1="9653" x2="52124" y2="7722"/>
                      <a14:foregroundMark x1="52124" y1="7722" x2="31660" y2="10425"/>
                      <a14:foregroundMark x1="56371" y1="3861" x2="54826" y2="2703"/>
                      <a14:foregroundMark x1="43629" y1="2703" x2="40927" y2="3475"/>
                      <a14:foregroundMark x1="31274" y1="7722" x2="30116" y2="7722"/>
                      <a14:foregroundMark x1="25097" y1="12355" x2="21622" y2="14672"/>
                      <a14:foregroundMark x1="18533" y1="16216" x2="15444" y2="21236"/>
                      <a14:foregroundMark x1="15058" y1="22008" x2="15058" y2="22008"/>
                      <a14:foregroundMark x1="9266" y1="30888" x2="5405" y2="40154"/>
                      <a14:foregroundMark x1="5019" y1="44015" x2="5019" y2="49035"/>
                      <a14:foregroundMark x1="7722" y1="56757" x2="10811" y2="66409"/>
                      <a14:foregroundMark x1="10811" y1="66409" x2="10811" y2="66409"/>
                      <a14:foregroundMark x1="10811" y1="68340" x2="10811" y2="68340"/>
                      <a14:foregroundMark x1="11197" y1="70270" x2="14672" y2="77220"/>
                      <a14:foregroundMark x1="16216" y1="78378" x2="18919" y2="81853"/>
                      <a14:foregroundMark x1="23166" y1="85714" x2="25869" y2="87259"/>
                      <a14:foregroundMark x1="28185" y1="87645" x2="29730" y2="89575"/>
                      <a14:foregroundMark x1="30502" y1="89961" x2="31274" y2="90734"/>
                      <a14:foregroundMark x1="26255" y1="89189" x2="24710" y2="88031"/>
                      <a14:foregroundMark x1="23552" y1="86873" x2="19305" y2="83012"/>
                      <a14:foregroundMark x1="18147" y1="81853" x2="16216" y2="79923"/>
                      <a14:foregroundMark x1="35135" y1="91506" x2="38224" y2="94595"/>
                      <a14:foregroundMark x1="40154" y1="94595" x2="47104" y2="96139"/>
                      <a14:foregroundMark x1="51737" y1="96139" x2="55598" y2="96525"/>
                      <a14:foregroundMark x1="59073" y1="96911" x2="61390" y2="95367"/>
                      <a14:foregroundMark x1="65251" y1="91506" x2="65251" y2="91506"/>
                      <a14:foregroundMark x1="70656" y1="90734" x2="73359" y2="88803"/>
                      <a14:foregroundMark x1="77220" y1="85714" x2="79923" y2="82625"/>
                      <a14:foregroundMark x1="83012" y1="77606" x2="84556" y2="76062"/>
                      <a14:foregroundMark x1="89575" y1="68340" x2="90347" y2="66409"/>
                      <a14:foregroundMark x1="90347" y1="66409" x2="90347" y2="66409"/>
                      <a14:foregroundMark x1="94595" y1="54054" x2="94981" y2="49035"/>
                      <a14:foregroundMark x1="95367" y1="38996" x2="95367" y2="38996"/>
                      <a14:foregroundMark x1="95367" y1="38996" x2="94595" y2="37452"/>
                      <a14:foregroundMark x1="93050" y1="30116" x2="92664" y2="27799"/>
                      <a14:foregroundMark x1="83398" y1="22008" x2="83398" y2="22008"/>
                      <a14:foregroundMark x1="77606" y1="15830" x2="76834" y2="15444"/>
                      <a14:foregroundMark x1="74903" y1="13900" x2="71815" y2="12355"/>
                      <a14:foregroundMark x1="71429" y1="11969" x2="71429" y2="11969"/>
                      <a14:foregroundMark x1="71429" y1="11969" x2="65637" y2="10425"/>
                      <a14:foregroundMark x1="54054" y1="5019" x2="53025" y2="4916"/>
                      <a14:foregroundMark x1="41699" y1="10425" x2="40541" y2="44788"/>
                      <a14:foregroundMark x1="40541" y1="44788" x2="43243" y2="57915"/>
                      <a14:foregroundMark x1="43243" y1="57915" x2="56757" y2="51737"/>
                      <a14:foregroundMark x1="56757" y1="51737" x2="58301" y2="50193"/>
                      <a14:backgroundMark x1="46332" y1="0" x2="55985" y2="3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3640" y="67945"/>
          <a:ext cx="859155" cy="835660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787880</xdr:colOff>
      <xdr:row>0</xdr:row>
      <xdr:rowOff>82980</xdr:rowOff>
    </xdr:from>
    <xdr:to>
      <xdr:col>3</xdr:col>
      <xdr:colOff>293257</xdr:colOff>
      <xdr:row>0</xdr:row>
      <xdr:rowOff>775607</xdr:rowOff>
    </xdr:to>
    <xdr:pic>
      <xdr:nvPicPr>
        <xdr:cNvPr id="2" name="Immagine 1" descr="FIG_unico_piccolo_e_grande_0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11600" y="82550"/>
          <a:ext cx="686435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772586</xdr:colOff>
      <xdr:row>0</xdr:row>
      <xdr:rowOff>60476</xdr:rowOff>
    </xdr:from>
    <xdr:to>
      <xdr:col>23</xdr:col>
      <xdr:colOff>810295</xdr:colOff>
      <xdr:row>0</xdr:row>
      <xdr:rowOff>896559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0" b="96139" l="3475" r="95367">
                      <a14:foregroundMark x1="32046" y1="10425" x2="18147" y2="20463"/>
                      <a14:foregroundMark x1="18147" y1="20463" x2="12741" y2="30116"/>
                      <a14:foregroundMark x1="12741" y1="30116" x2="9266" y2="56371"/>
                      <a14:foregroundMark x1="9266" y1="56371" x2="15058" y2="71815"/>
                      <a14:foregroundMark x1="15058" y1="71815" x2="30888" y2="85714"/>
                      <a14:foregroundMark x1="30888" y1="85714" x2="44015" y2="90347"/>
                      <a14:foregroundMark x1="44015" y1="90347" x2="59073" y2="91892"/>
                      <a14:foregroundMark x1="59073" y1="91892" x2="76448" y2="84556"/>
                      <a14:foregroundMark x1="76448" y1="84556" x2="88417" y2="57529"/>
                      <a14:foregroundMark x1="88417" y1="57529" x2="88803" y2="38224"/>
                      <a14:foregroundMark x1="88803" y1="38224" x2="84556" y2="27413"/>
                      <a14:foregroundMark x1="84556" y1="27413" x2="71042" y2="14672"/>
                      <a14:foregroundMark x1="71042" y1="14672" x2="61776" y2="9653"/>
                      <a14:foregroundMark x1="61776" y1="9653" x2="52124" y2="7722"/>
                      <a14:foregroundMark x1="52124" y1="7722" x2="31660" y2="10425"/>
                      <a14:foregroundMark x1="56371" y1="3861" x2="54826" y2="2703"/>
                      <a14:foregroundMark x1="43629" y1="2703" x2="40927" y2="3475"/>
                      <a14:foregroundMark x1="31274" y1="7722" x2="30116" y2="7722"/>
                      <a14:foregroundMark x1="25097" y1="12355" x2="21622" y2="14672"/>
                      <a14:foregroundMark x1="18533" y1="16216" x2="15444" y2="21236"/>
                      <a14:foregroundMark x1="15058" y1="22008" x2="15058" y2="22008"/>
                      <a14:foregroundMark x1="9266" y1="30888" x2="5405" y2="40154"/>
                      <a14:foregroundMark x1="5019" y1="44015" x2="5019" y2="49035"/>
                      <a14:foregroundMark x1="7722" y1="56757" x2="10811" y2="66409"/>
                      <a14:foregroundMark x1="10811" y1="66409" x2="10811" y2="66409"/>
                      <a14:foregroundMark x1="10811" y1="68340" x2="10811" y2="68340"/>
                      <a14:foregroundMark x1="11197" y1="70270" x2="14672" y2="77220"/>
                      <a14:foregroundMark x1="16216" y1="78378" x2="18919" y2="81853"/>
                      <a14:foregroundMark x1="23166" y1="85714" x2="25869" y2="87259"/>
                      <a14:foregroundMark x1="28185" y1="87645" x2="29730" y2="89575"/>
                      <a14:foregroundMark x1="30502" y1="89961" x2="31274" y2="90734"/>
                      <a14:foregroundMark x1="26255" y1="89189" x2="24710" y2="88031"/>
                      <a14:foregroundMark x1="23552" y1="86873" x2="19305" y2="83012"/>
                      <a14:foregroundMark x1="18147" y1="81853" x2="16216" y2="79923"/>
                      <a14:foregroundMark x1="35135" y1="91506" x2="38224" y2="94595"/>
                      <a14:foregroundMark x1="40154" y1="94595" x2="47104" y2="96139"/>
                      <a14:foregroundMark x1="51737" y1="96139" x2="55598" y2="96525"/>
                      <a14:foregroundMark x1="59073" y1="96911" x2="61390" y2="95367"/>
                      <a14:foregroundMark x1="65251" y1="91506" x2="65251" y2="91506"/>
                      <a14:foregroundMark x1="70656" y1="90734" x2="73359" y2="88803"/>
                      <a14:foregroundMark x1="77220" y1="85714" x2="79923" y2="82625"/>
                      <a14:foregroundMark x1="83012" y1="77606" x2="84556" y2="76062"/>
                      <a14:foregroundMark x1="89575" y1="68340" x2="90347" y2="66409"/>
                      <a14:foregroundMark x1="90347" y1="66409" x2="90347" y2="66409"/>
                      <a14:foregroundMark x1="94595" y1="54054" x2="94981" y2="49035"/>
                      <a14:foregroundMark x1="95367" y1="38996" x2="95367" y2="38996"/>
                      <a14:foregroundMark x1="95367" y1="38996" x2="94595" y2="37452"/>
                      <a14:foregroundMark x1="93050" y1="30116" x2="92664" y2="27799"/>
                      <a14:foregroundMark x1="83398" y1="22008" x2="83398" y2="22008"/>
                      <a14:foregroundMark x1="77606" y1="15830" x2="76834" y2="15444"/>
                      <a14:foregroundMark x1="74903" y1="13900" x2="71815" y2="12355"/>
                      <a14:foregroundMark x1="71429" y1="11969" x2="71429" y2="11969"/>
                      <a14:foregroundMark x1="71429" y1="11969" x2="65637" y2="10425"/>
                      <a14:foregroundMark x1="54054" y1="5019" x2="53025" y2="4916"/>
                      <a14:foregroundMark x1="41699" y1="10425" x2="40541" y2="44788"/>
                      <a14:foregroundMark x1="40541" y1="44788" x2="43243" y2="57915"/>
                      <a14:foregroundMark x1="43243" y1="57915" x2="56757" y2="51737"/>
                      <a14:foregroundMark x1="56757" y1="51737" x2="58301" y2="50193"/>
                      <a14:backgroundMark x1="46332" y1="0" x2="55985" y2="3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84235" y="60325"/>
          <a:ext cx="857250" cy="835660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406880</xdr:colOff>
      <xdr:row>0</xdr:row>
      <xdr:rowOff>123801</xdr:rowOff>
    </xdr:from>
    <xdr:to>
      <xdr:col>2</xdr:col>
      <xdr:colOff>1096077</xdr:colOff>
      <xdr:row>0</xdr:row>
      <xdr:rowOff>816428</xdr:rowOff>
    </xdr:to>
    <xdr:pic>
      <xdr:nvPicPr>
        <xdr:cNvPr id="2" name="Immagine 1" descr="FIG_unico_piccolo_e_grande_0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0075" y="123190"/>
          <a:ext cx="689610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36738</xdr:colOff>
      <xdr:row>0</xdr:row>
      <xdr:rowOff>40821</xdr:rowOff>
    </xdr:from>
    <xdr:to>
      <xdr:col>26</xdr:col>
      <xdr:colOff>629406</xdr:colOff>
      <xdr:row>0</xdr:row>
      <xdr:rowOff>876904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139" l="3475" r="95367">
                      <a14:foregroundMark x1="32046" y1="10425" x2="18147" y2="20463"/>
                      <a14:foregroundMark x1="18147" y1="20463" x2="12741" y2="30116"/>
                      <a14:foregroundMark x1="12741" y1="30116" x2="9266" y2="56371"/>
                      <a14:foregroundMark x1="9266" y1="56371" x2="15058" y2="71815"/>
                      <a14:foregroundMark x1="15058" y1="71815" x2="30888" y2="85714"/>
                      <a14:foregroundMark x1="30888" y1="85714" x2="44015" y2="90347"/>
                      <a14:foregroundMark x1="44015" y1="90347" x2="59073" y2="91892"/>
                      <a14:foregroundMark x1="59073" y1="91892" x2="76448" y2="84556"/>
                      <a14:foregroundMark x1="76448" y1="84556" x2="88417" y2="57529"/>
                      <a14:foregroundMark x1="88417" y1="57529" x2="88803" y2="38224"/>
                      <a14:foregroundMark x1="88803" y1="38224" x2="84556" y2="27413"/>
                      <a14:foregroundMark x1="84556" y1="27413" x2="71042" y2="14672"/>
                      <a14:foregroundMark x1="71042" y1="14672" x2="61776" y2="9653"/>
                      <a14:foregroundMark x1="61776" y1="9653" x2="52124" y2="7722"/>
                      <a14:foregroundMark x1="52124" y1="7722" x2="31660" y2="10425"/>
                      <a14:foregroundMark x1="56371" y1="3861" x2="54826" y2="2703"/>
                      <a14:foregroundMark x1="43629" y1="2703" x2="40927" y2="3475"/>
                      <a14:foregroundMark x1="31274" y1="7722" x2="30116" y2="7722"/>
                      <a14:foregroundMark x1="25097" y1="12355" x2="21622" y2="14672"/>
                      <a14:foregroundMark x1="18533" y1="16216" x2="15444" y2="21236"/>
                      <a14:foregroundMark x1="15058" y1="22008" x2="15058" y2="22008"/>
                      <a14:foregroundMark x1="9266" y1="30888" x2="5405" y2="40154"/>
                      <a14:foregroundMark x1="5019" y1="44015" x2="5019" y2="49035"/>
                      <a14:foregroundMark x1="7722" y1="56757" x2="10811" y2="66409"/>
                      <a14:foregroundMark x1="10811" y1="66409" x2="10811" y2="66409"/>
                      <a14:foregroundMark x1="10811" y1="68340" x2="10811" y2="68340"/>
                      <a14:foregroundMark x1="11197" y1="70270" x2="14672" y2="77220"/>
                      <a14:foregroundMark x1="16216" y1="78378" x2="18919" y2="81853"/>
                      <a14:foregroundMark x1="23166" y1="85714" x2="25869" y2="87259"/>
                      <a14:foregroundMark x1="28185" y1="87645" x2="29730" y2="89575"/>
                      <a14:foregroundMark x1="30502" y1="89961" x2="31274" y2="90734"/>
                      <a14:foregroundMark x1="26255" y1="89189" x2="24710" y2="88031"/>
                      <a14:foregroundMark x1="23552" y1="86873" x2="19305" y2="83012"/>
                      <a14:foregroundMark x1="18147" y1="81853" x2="16216" y2="79923"/>
                      <a14:foregroundMark x1="35135" y1="91506" x2="38224" y2="94595"/>
                      <a14:foregroundMark x1="40154" y1="94595" x2="47104" y2="96139"/>
                      <a14:foregroundMark x1="51737" y1="96139" x2="55598" y2="96525"/>
                      <a14:foregroundMark x1="59073" y1="96911" x2="61390" y2="95367"/>
                      <a14:foregroundMark x1="65251" y1="91506" x2="65251" y2="91506"/>
                      <a14:foregroundMark x1="70656" y1="90734" x2="73359" y2="88803"/>
                      <a14:foregroundMark x1="77220" y1="85714" x2="79923" y2="82625"/>
                      <a14:foregroundMark x1="83012" y1="77606" x2="84556" y2="76062"/>
                      <a14:foregroundMark x1="89575" y1="68340" x2="90347" y2="66409"/>
                      <a14:foregroundMark x1="90347" y1="66409" x2="90347" y2="66409"/>
                      <a14:foregroundMark x1="94595" y1="54054" x2="94981" y2="49035"/>
                      <a14:foregroundMark x1="95367" y1="38996" x2="95367" y2="38996"/>
                      <a14:foregroundMark x1="95367" y1="38996" x2="94595" y2="37452"/>
                      <a14:foregroundMark x1="93050" y1="30116" x2="92664" y2="27799"/>
                      <a14:foregroundMark x1="83398" y1="22008" x2="83398" y2="22008"/>
                      <a14:foregroundMark x1="77606" y1="15830" x2="76834" y2="15444"/>
                      <a14:foregroundMark x1="74903" y1="13900" x2="71815" y2="12355"/>
                      <a14:foregroundMark x1="71429" y1="11969" x2="71429" y2="11969"/>
                      <a14:foregroundMark x1="71429" y1="11969" x2="65637" y2="10425"/>
                      <a14:foregroundMark x1="54054" y1="5019" x2="53025" y2="4916"/>
                      <a14:foregroundMark x1="41699" y1="10425" x2="40541" y2="44788"/>
                      <a14:foregroundMark x1="40541" y1="44788" x2="43243" y2="57915"/>
                      <a14:foregroundMark x1="43243" y1="57915" x2="56757" y2="51737"/>
                      <a14:foregroundMark x1="56757" y1="51737" x2="58301" y2="50193"/>
                      <a14:backgroundMark x1="46332" y1="0" x2="55985" y2="3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3595" y="40640"/>
          <a:ext cx="859790" cy="835660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odp/Downloads/Classifica%20Teodoro%20Soldati%20Matteo%2010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IFICA MASCHILE"/>
      <sheetName val="CLASSIFICA FEMMINILE"/>
      <sheetName val="SISTEMA"/>
      <sheetName val="Istruzioni"/>
      <sheetName val="Statistiche per Responsabile"/>
      <sheetName val="Classifica Teodoro Soldati Mat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id="1" name="MASCHI" displayName="MASCHI" ref="A8:Y11" totalsRowShown="0">
  <autoFilter ref="A8:Y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118">
      <calculatedColumnFormula>IF(A8="Elenco",1,IF(B9="","",A8+1))</calculatedColumnFormula>
    </tableColumn>
    <tableColumn id="3" name="Nome Giocatore" dataDxfId="117"/>
    <tableColumn id="4" name="Anno di nascita" dataDxfId="116"/>
    <tableColumn id="5" name="Qualifica _x000a_(B-BG-BN)" dataDxfId="115"/>
    <tableColumn id="6" name="N° Gare" dataDxfId="114">
      <calculatedColumnFormula>IF(COUNTA(G9:S9)+COUNTA(V9:V9)=0,"",COUNTA(G9:S9)+COUNTA(V9:V9))</calculatedColumnFormula>
    </tableColumn>
    <tableColumn id="7" name="Circolo di appartenenza" dataDxfId="113"/>
    <tableColumn id="8" name="data1" dataDxfId="112"/>
    <tableColumn id="9" name="data2" dataDxfId="111"/>
    <tableColumn id="10" name="data3" dataDxfId="110"/>
    <tableColumn id="11" name="data4" dataDxfId="109"/>
    <tableColumn id="12" name="data5" dataDxfId="108"/>
    <tableColumn id="13" name="data6" dataDxfId="107"/>
    <tableColumn id="14" name="data7" dataDxfId="106"/>
    <tableColumn id="15" name="data8" dataDxfId="105"/>
    <tableColumn id="16" name="data9" dataDxfId="104"/>
    <tableColumn id="17" name="data10" dataDxfId="103"/>
    <tableColumn id="18" name="data11" dataDxfId="102"/>
    <tableColumn id="19" name="data12" dataDxfId="101"/>
    <tableColumn id="20" name="data13" dataDxfId="100"/>
    <tableColumn id="21" name="TOTALE" dataDxfId="99">
      <calculatedColumnFormula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calculatedColumnFormula>
    </tableColumn>
    <tableColumn id="22" name="Colonna16" dataDxfId="98">
      <calculatedColumnFormula>AVERAGE(MASCHI[[#This Row],[data1]:[data13]])</calculatedColumnFormula>
    </tableColumn>
    <tableColumn id="23" name=" DATA    " dataDxfId="97"/>
    <tableColumn id="24" name="Colonna18" dataDxfId="96"/>
    <tableColumn id="25" name="Colonna1" dataDxfId="95">
      <calculatedColumnFormula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calculatedColumnFormula>
    </tableColumn>
    <tableColumn id="26" name="Colonna20" dataDxfId="94">
      <calculatedColumnFormula>IFERROR(IF(E9=0,"",X9/E9),"")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FEMMINE" displayName="FEMMINE" ref="A8:Y11" totalsRowShown="0">
  <autoFilter ref="A8:Y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92">
      <calculatedColumnFormula>IF(A8="Elenco",1,IF(B9="","",A8+1))</calculatedColumnFormula>
    </tableColumn>
    <tableColumn id="3" name="Nome Giocatore" dataDxfId="91"/>
    <tableColumn id="4" name="Anno di nascita" dataDxfId="90"/>
    <tableColumn id="5" name="Qualifica _x000a_(B-BG-BN)" dataDxfId="89"/>
    <tableColumn id="6" name="N° Gare" dataDxfId="88">
      <calculatedColumnFormula>IF(COUNTA(G9:S9)+COUNTA(V9:V9)=0,"",COUNTA(G9:S9)+COUNTA(V9:V9))</calculatedColumnFormula>
    </tableColumn>
    <tableColumn id="7" name="Circolo di appartenenza" dataDxfId="87"/>
    <tableColumn id="8" name="data1" dataDxfId="86"/>
    <tableColumn id="9" name="data2" dataDxfId="85"/>
    <tableColumn id="10" name="data3" dataDxfId="84"/>
    <tableColumn id="11" name="data4" dataDxfId="83"/>
    <tableColumn id="12" name="data5" dataDxfId="82"/>
    <tableColumn id="13" name="data6" dataDxfId="81"/>
    <tableColumn id="14" name="data7" dataDxfId="80"/>
    <tableColumn id="15" name="data8" dataDxfId="79"/>
    <tableColumn id="16" name="data9" dataDxfId="78"/>
    <tableColumn id="17" name="data10" dataDxfId="77"/>
    <tableColumn id="18" name="data11" dataDxfId="76"/>
    <tableColumn id="19" name="data12" dataDxfId="75"/>
    <tableColumn id="20" name="data13" dataDxfId="74"/>
    <tableColumn id="21" name="TOTALE" dataDxfId="73">
      <calculatedColumnFormula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calculatedColumnFormula>
    </tableColumn>
    <tableColumn id="22" name="Colonna16" dataDxfId="72">
      <calculatedColumnFormula>AVERAGE(FEMMINE[[#This Row],[data1]:[data13]])</calculatedColumnFormula>
    </tableColumn>
    <tableColumn id="23" name=" DATA    " dataDxfId="71"/>
    <tableColumn id="24" name="Colonna18" dataDxfId="70"/>
    <tableColumn id="25" name="Colonna1" dataDxfId="69">
      <calculatedColumnFormula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calculatedColumnFormula>
    </tableColumn>
    <tableColumn id="26" name="Colonna20" dataDxfId="68">
      <calculatedColumnFormula>IFERROR(IF(E9=0,"",X9/E9),"")</calculatedColumnFormula>
    </tableColumn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4" name="Tabella4" displayName="Tabella4" ref="F2:G44" totalsRowShown="0">
  <autoFilter ref="F2:G44"/>
  <tableColumns count="2">
    <tableColumn id="1" name="1" dataDxfId="67"/>
    <tableColumn id="2" name="100" dataDxfId="6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MASCHI4" displayName="MASCHI4" ref="A8:AD32" totalsRowShown="0" headerRowDxfId="64">
  <sortState ref="A9:AD32">
    <sortCondition descending="1" ref="Y8"/>
  </sortState>
  <tableColumns count="30">
    <tableColumn id="2" name="Elenco" dataDxfId="63">
      <calculatedColumnFormula>IF(A8="Elenco",1,A8+1)</calculatedColumnFormula>
    </tableColumn>
    <tableColumn id="3" name="Nome Giocatore" dataDxfId="62"/>
    <tableColumn id="4" name="Anno di nascita" dataDxfId="61"/>
    <tableColumn id="5" name="Qualifica _x000a_(B-BG-BN)" dataDxfId="60"/>
    <tableColumn id="6" name="N° Gare" dataDxfId="59">
      <calculatedColumnFormula>IF(COUNTA(G9:X9,AA9)=0,"",COUNTA(G9:X9,AA9))</calculatedColumnFormula>
    </tableColumn>
    <tableColumn id="7" name="Circolo di appartenenza" dataDxfId="58"/>
    <tableColumn id="8" name="18-feb" dataDxfId="57"/>
    <tableColumn id="9" name="29-mar" dataDxfId="56"/>
    <tableColumn id="10" name="6/7 apr" dataDxfId="55"/>
    <tableColumn id="11" name="11-giu" dataDxfId="54"/>
    <tableColumn id="12" name="22/23-giu" dataDxfId="53"/>
    <tableColumn id="13" name="23-lug" dataDxfId="52"/>
    <tableColumn id="14" name="31-lug" dataDxfId="51"/>
    <tableColumn id="15" name="31-ago/01-sett" dataDxfId="50"/>
    <tableColumn id="16" name="10-set" dataDxfId="49"/>
    <tableColumn id="17" name="Data 10" dataDxfId="48"/>
    <tableColumn id="18" name="Data 11" dataDxfId="47"/>
    <tableColumn id="19" name="Data 12" dataDxfId="46"/>
    <tableColumn id="27" name="Data 13" dataDxfId="45"/>
    <tableColumn id="32" name="Data 14" dataDxfId="44"/>
    <tableColumn id="31" name="Data 15" dataDxfId="43"/>
    <tableColumn id="30" name="Data 16" dataDxfId="42"/>
    <tableColumn id="1" name="Data 17" dataDxfId="41"/>
    <tableColumn id="20" name="Data 18" dataDxfId="40"/>
    <tableColumn id="21" name="TOTALE" dataDxfId="39">
      <calculatedColumnFormula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calculatedColumnFormula>
    </tableColumn>
    <tableColumn id="22" name="Colonna16" dataDxfId="38">
      <calculatedColumnFormula>AVERAGE(MASCHI4[[#This Row],[18-feb]:[Data 18]])</calculatedColumnFormula>
    </tableColumn>
    <tableColumn id="23" name=" DATA    " dataDxfId="37"/>
    <tableColumn id="24" name="Colonna18" dataDxfId="36"/>
    <tableColumn id="25" name="Colonna1" dataDxfId="35">
      <calculatedColumnFormula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calculatedColumnFormula>
    </tableColumn>
    <tableColumn id="26" name="Colonna20" dataDxfId="34">
      <calculatedColumnFormula>IFERROR(IF(E9=0,"",AC9/E9),"")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FEMMINE7" displayName="FEMMINE7" ref="A8:AD18" totalsRowShown="0">
  <autoFilter ref="A8:AD18"/>
  <sortState ref="A9:AD18">
    <sortCondition descending="1" ref="Y8:Y18"/>
  </sortState>
  <tableColumns count="30">
    <tableColumn id="2" name="Elenco" dataDxfId="30">
      <calculatedColumnFormula>IF(A8="Elenco",1,A8+1)</calculatedColumnFormula>
    </tableColumn>
    <tableColumn id="3" name="Nome Giocatore" dataDxfId="29"/>
    <tableColumn id="4" name="Anno di nascita" dataDxfId="28"/>
    <tableColumn id="5" name="Qualifica _x000a_(B-BG-BN)" dataDxfId="27"/>
    <tableColumn id="6" name="N° Gare" dataDxfId="26">
      <calculatedColumnFormula>IF(COUNTA(G9:X9,AA9)=0,"",COUNTA(G9:X9,AA9))</calculatedColumnFormula>
    </tableColumn>
    <tableColumn id="7" name="Circolo di appartenenza" dataDxfId="25"/>
    <tableColumn id="8" name="18-feb" dataDxfId="24"/>
    <tableColumn id="9" name="29-mar" dataDxfId="23"/>
    <tableColumn id="10" name="6/7 apr" dataDxfId="22"/>
    <tableColumn id="11" name="11-giu" dataDxfId="21"/>
    <tableColumn id="12" name="22/23 giu" dataDxfId="20"/>
    <tableColumn id="13" name="23-lug" dataDxfId="19"/>
    <tableColumn id="14" name="31-lug" dataDxfId="18"/>
    <tableColumn id="15" name="31-ago/01-set" dataDxfId="17"/>
    <tableColumn id="16" name="10-set" dataDxfId="16"/>
    <tableColumn id="17" name="Data 10" dataDxfId="15"/>
    <tableColumn id="18" name="Data 11" dataDxfId="14"/>
    <tableColumn id="19" name="Data 12" dataDxfId="13"/>
    <tableColumn id="27" name="Data 13" dataDxfId="12"/>
    <tableColumn id="30" name="Data 14" dataDxfId="11"/>
    <tableColumn id="29" name="Data 15" dataDxfId="10"/>
    <tableColumn id="28" name="Data 16" dataDxfId="9"/>
    <tableColumn id="1" name="Data 17" dataDxfId="8"/>
    <tableColumn id="20" name="Data 18" dataDxfId="7"/>
    <tableColumn id="21" name="TOTALE" dataDxfId="6">
      <calculatedColumnFormula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calculatedColumnFormula>
    </tableColumn>
    <tableColumn id="22" name="Colonna16" dataDxfId="5">
      <calculatedColumnFormula>AVERAGE(FEMMINE7[[#This Row],[18-feb]:[Data 18]])</calculatedColumnFormula>
    </tableColumn>
    <tableColumn id="23" name=" DATA    " dataDxfId="4"/>
    <tableColumn id="24" name="Colonna18" dataDxfId="3"/>
    <tableColumn id="25" name="Colonna1" dataDxfId="2">
      <calculatedColumnFormula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calculatedColumnFormula>
    </tableColumn>
    <tableColumn id="26" name="Colonna20" dataDxfId="1">
      <calculatedColumnFormula>IFERROR(IF(E9=0,"",AC9/E9),"")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2" name="Tabella2" displayName="Tabella2" ref="M5:N46" totalsRowShown="0">
  <autoFilter ref="M5:N46"/>
  <tableColumns count="2">
    <tableColumn id="1" name="Posizione in classifica" dataDxfId="32"/>
    <tableColumn id="2" name="Punti attribuiti" dataDxfId="3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8"/>
  <sheetViews>
    <sheetView zoomScale="70" zoomScaleNormal="70" zoomScaleSheetLayoutView="40" workbookViewId="0">
      <selection activeCell="O22" sqref="O22"/>
    </sheetView>
  </sheetViews>
  <sheetFormatPr defaultColWidth="9.140625" defaultRowHeight="25.5" customHeight="1"/>
  <cols>
    <col min="1" max="1" width="10.42578125" style="66" customWidth="1"/>
    <col min="2" max="2" width="42.5703125" style="66" customWidth="1"/>
    <col min="3" max="3" width="17.7109375" style="66" customWidth="1"/>
    <col min="4" max="4" width="15" style="66" customWidth="1"/>
    <col min="5" max="5" width="12.42578125" style="66" customWidth="1"/>
    <col min="6" max="6" width="21.42578125" style="66" customWidth="1"/>
    <col min="7" max="7" width="12.7109375" style="66" customWidth="1"/>
    <col min="8" max="8" width="13.28515625" style="66" customWidth="1"/>
    <col min="9" max="9" width="12.28515625" style="66" customWidth="1"/>
    <col min="10" max="18" width="12.5703125" style="66" customWidth="1"/>
    <col min="19" max="19" width="14.7109375" style="66" customWidth="1"/>
    <col min="20" max="20" width="15" style="66" customWidth="1"/>
    <col min="21" max="21" width="4" style="66" customWidth="1"/>
    <col min="22" max="22" width="15.140625" style="66" customWidth="1"/>
    <col min="23" max="23" width="4" style="66" customWidth="1"/>
    <col min="24" max="25" width="15" style="66" customWidth="1"/>
    <col min="26" max="26" width="9.140625" style="66"/>
    <col min="27" max="66" width="9.140625" style="118"/>
    <col min="67" max="16384" width="9.140625" style="66"/>
  </cols>
  <sheetData>
    <row r="1" spans="1:66" ht="72.95" customHeight="1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50"/>
    </row>
    <row r="2" spans="1:66" ht="25.5" customHeight="1">
      <c r="A2" s="119"/>
      <c r="B2" s="119"/>
      <c r="C2" s="119"/>
      <c r="D2" s="119"/>
      <c r="E2" s="119"/>
      <c r="F2" s="119"/>
      <c r="G2" s="122">
        <f>IF(COUNTA(MASCHI[data1])=0,0,COUNTA(MASCHI[data1]))</f>
        <v>0</v>
      </c>
      <c r="H2" s="122">
        <f>IF(COUNTA(MASCHI[data2])=0,0,COUNTA(MASCHI[data2]))</f>
        <v>0</v>
      </c>
      <c r="I2" s="122">
        <f>IF(COUNTA(MASCHI[data3])=0,0,COUNTA(MASCHI[data3]))</f>
        <v>0</v>
      </c>
      <c r="J2" s="122">
        <f>IF(COUNTA(MASCHI[data4])=0,0,COUNTA(MASCHI[data4]))</f>
        <v>0</v>
      </c>
      <c r="K2" s="122">
        <f>IF(COUNTA(MASCHI[data5])=0,0,COUNTA(MASCHI[data5]))</f>
        <v>0</v>
      </c>
      <c r="L2" s="122">
        <f>IF(COUNTA(MASCHI[data6])=0,0,COUNTA(MASCHI[data6]))</f>
        <v>0</v>
      </c>
      <c r="M2" s="122">
        <f>IF(COUNTA(MASCHI[data7])=0,0,COUNTA(MASCHI[data7]))</f>
        <v>0</v>
      </c>
      <c r="N2" s="122">
        <f>IF(COUNTA(MASCHI[data8])=0,0,COUNTA(MASCHI[data8]))</f>
        <v>0</v>
      </c>
      <c r="O2" s="122">
        <f>IF(COUNTA(MASCHI[data9])=0,0,COUNTA(MASCHI[data9]))</f>
        <v>0</v>
      </c>
      <c r="P2" s="122">
        <f>IF(COUNTA(MASCHI[data10])=0,0,COUNTA(MASCHI[data10]))</f>
        <v>0</v>
      </c>
      <c r="Q2" s="122">
        <f>IF(COUNTA(MASCHI[data11])=0,0,COUNTA(MASCHI[data11]))</f>
        <v>0</v>
      </c>
      <c r="R2" s="122">
        <f>IF(COUNTA(MASCHI[data12])=0,0,COUNTA(MASCHI[data12]))</f>
        <v>0</v>
      </c>
      <c r="S2" s="122">
        <f>IF(COUNTA(MASCHI[data13])=0,0,COUNTA(MASCHI[data13]))</f>
        <v>0</v>
      </c>
      <c r="T2" s="122"/>
      <c r="U2" s="122"/>
      <c r="V2" s="122">
        <f>IF(COUNTA(MASCHI[data13])=0,0,COUNTA(MASCHI[data13]))</f>
        <v>0</v>
      </c>
      <c r="W2" s="139"/>
      <c r="X2" s="139"/>
      <c r="Y2" s="139"/>
    </row>
    <row r="3" spans="1:66" ht="25.5" customHeight="1">
      <c r="A3" s="119"/>
      <c r="B3" s="119"/>
      <c r="C3" s="119"/>
      <c r="D3" s="119"/>
      <c r="E3" s="119"/>
      <c r="F3" s="175"/>
      <c r="G3" s="122">
        <f>IF(G2=0,0,1)</f>
        <v>0</v>
      </c>
      <c r="H3" s="122">
        <f t="shared" ref="H3:S3" si="0">IF(H2=0,0,1)</f>
        <v>0</v>
      </c>
      <c r="I3" s="122">
        <f t="shared" si="0"/>
        <v>0</v>
      </c>
      <c r="J3" s="122">
        <f t="shared" si="0"/>
        <v>0</v>
      </c>
      <c r="K3" s="122">
        <f t="shared" si="0"/>
        <v>0</v>
      </c>
      <c r="L3" s="122">
        <f t="shared" si="0"/>
        <v>0</v>
      </c>
      <c r="M3" s="122">
        <f t="shared" si="0"/>
        <v>0</v>
      </c>
      <c r="N3" s="122">
        <f t="shared" si="0"/>
        <v>0</v>
      </c>
      <c r="O3" s="122">
        <f t="shared" si="0"/>
        <v>0</v>
      </c>
      <c r="P3" s="122">
        <f t="shared" si="0"/>
        <v>0</v>
      </c>
      <c r="Q3" s="122">
        <f t="shared" si="0"/>
        <v>0</v>
      </c>
      <c r="R3" s="122">
        <f t="shared" si="0"/>
        <v>0</v>
      </c>
      <c r="S3" s="122">
        <f t="shared" si="0"/>
        <v>0</v>
      </c>
      <c r="T3" s="122">
        <f>SUM(G3:S3)+V3</f>
        <v>0</v>
      </c>
      <c r="U3" s="122"/>
      <c r="V3" s="122">
        <f t="shared" ref="V3" si="1">IF(V2=0,0,1)</f>
        <v>0</v>
      </c>
      <c r="W3" s="139"/>
      <c r="X3" s="139"/>
      <c r="Y3" s="139"/>
    </row>
    <row r="4" spans="1:66" ht="25.5" customHeight="1">
      <c r="A4" s="257" t="s">
        <v>1</v>
      </c>
      <c r="B4" s="258"/>
      <c r="C4" s="258"/>
      <c r="D4" s="258"/>
      <c r="E4" s="259"/>
      <c r="F4" s="176"/>
      <c r="G4" s="266" t="s">
        <v>2</v>
      </c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8"/>
    </row>
    <row r="5" spans="1:66" ht="25.5" customHeight="1">
      <c r="A5" s="260"/>
      <c r="B5" s="261"/>
      <c r="C5" s="261"/>
      <c r="D5" s="261"/>
      <c r="E5" s="262"/>
      <c r="F5" s="177"/>
      <c r="G5" s="269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1"/>
    </row>
    <row r="6" spans="1:66" ht="25.5" customHeight="1">
      <c r="A6" s="263"/>
      <c r="B6" s="264"/>
      <c r="C6" s="264"/>
      <c r="D6" s="264"/>
      <c r="E6" s="265"/>
      <c r="F6" s="119"/>
      <c r="G6" s="126" t="s">
        <v>3</v>
      </c>
      <c r="H6" s="126" t="s">
        <v>4</v>
      </c>
      <c r="I6" s="126" t="s">
        <v>5</v>
      </c>
      <c r="J6" s="126" t="s">
        <v>6</v>
      </c>
      <c r="K6" s="126" t="s">
        <v>7</v>
      </c>
      <c r="L6" s="126" t="s">
        <v>8</v>
      </c>
      <c r="M6" s="126" t="s">
        <v>9</v>
      </c>
      <c r="N6" s="126" t="s">
        <v>10</v>
      </c>
      <c r="O6" s="126" t="s">
        <v>11</v>
      </c>
      <c r="P6" s="126" t="s">
        <v>12</v>
      </c>
      <c r="Q6" s="126" t="s">
        <v>13</v>
      </c>
      <c r="R6" s="126" t="s">
        <v>14</v>
      </c>
      <c r="S6" s="178" t="s">
        <v>15</v>
      </c>
      <c r="T6" s="251"/>
      <c r="U6" s="103"/>
      <c r="V6" s="253" t="s">
        <v>16</v>
      </c>
      <c r="W6" s="103"/>
      <c r="X6" s="255" t="s">
        <v>17</v>
      </c>
      <c r="Y6" s="256" t="s">
        <v>18</v>
      </c>
      <c r="Z6" s="104"/>
      <c r="AA6" s="88"/>
      <c r="AB6" s="88"/>
      <c r="AC6" s="88"/>
      <c r="AD6" s="88"/>
      <c r="AE6" s="88"/>
    </row>
    <row r="7" spans="1:66" s="65" customFormat="1" ht="25.5" customHeight="1">
      <c r="A7" s="119"/>
      <c r="B7" s="119"/>
      <c r="C7" s="119"/>
      <c r="D7" s="119"/>
      <c r="E7" s="119"/>
      <c r="F7" s="119"/>
      <c r="G7" s="127" t="s">
        <v>19</v>
      </c>
      <c r="H7" s="127" t="s">
        <v>19</v>
      </c>
      <c r="I7" s="127" t="s">
        <v>19</v>
      </c>
      <c r="J7" s="127" t="s">
        <v>19</v>
      </c>
      <c r="K7" s="127" t="s">
        <v>19</v>
      </c>
      <c r="L7" s="127" t="s">
        <v>19</v>
      </c>
      <c r="M7" s="127" t="s">
        <v>19</v>
      </c>
      <c r="N7" s="127" t="s">
        <v>19</v>
      </c>
      <c r="O7" s="127" t="s">
        <v>19</v>
      </c>
      <c r="P7" s="127" t="s">
        <v>19</v>
      </c>
      <c r="Q7" s="127" t="s">
        <v>19</v>
      </c>
      <c r="R7" s="127" t="s">
        <v>19</v>
      </c>
      <c r="S7" s="179" t="s">
        <v>19</v>
      </c>
      <c r="T7" s="252"/>
      <c r="U7" s="105"/>
      <c r="V7" s="254"/>
      <c r="W7" s="105"/>
      <c r="X7" s="255"/>
      <c r="Y7" s="256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</row>
    <row r="8" spans="1:66" ht="25.5" customHeight="1">
      <c r="A8" s="128" t="s">
        <v>20</v>
      </c>
      <c r="B8" s="129" t="s">
        <v>21</v>
      </c>
      <c r="C8" s="130" t="s">
        <v>22</v>
      </c>
      <c r="D8" s="130" t="s">
        <v>23</v>
      </c>
      <c r="E8" s="131" t="s">
        <v>24</v>
      </c>
      <c r="F8" s="130" t="s">
        <v>25</v>
      </c>
      <c r="G8" s="185" t="s">
        <v>26</v>
      </c>
      <c r="H8" s="185" t="s">
        <v>27</v>
      </c>
      <c r="I8" s="185" t="s">
        <v>28</v>
      </c>
      <c r="J8" s="185" t="s">
        <v>29</v>
      </c>
      <c r="K8" s="185" t="s">
        <v>30</v>
      </c>
      <c r="L8" s="185" t="s">
        <v>31</v>
      </c>
      <c r="M8" s="185" t="s">
        <v>32</v>
      </c>
      <c r="N8" s="185" t="s">
        <v>33</v>
      </c>
      <c r="O8" s="185" t="s">
        <v>34</v>
      </c>
      <c r="P8" s="185" t="s">
        <v>35</v>
      </c>
      <c r="Q8" s="185" t="s">
        <v>36</v>
      </c>
      <c r="R8" s="185" t="s">
        <v>37</v>
      </c>
      <c r="S8" s="186" t="s">
        <v>38</v>
      </c>
      <c r="T8" s="141" t="s">
        <v>39</v>
      </c>
      <c r="U8" s="106" t="s">
        <v>40</v>
      </c>
      <c r="V8" s="187" t="s">
        <v>41</v>
      </c>
      <c r="W8" s="107" t="s">
        <v>42</v>
      </c>
      <c r="X8" s="108" t="s">
        <v>43</v>
      </c>
      <c r="Y8" s="142" t="s">
        <v>44</v>
      </c>
      <c r="Z8" s="68"/>
    </row>
    <row r="9" spans="1:66" ht="25.5" customHeight="1">
      <c r="A9" s="155">
        <f t="shared" ref="A9:A11" si="2">IF(A8="Elenco",1,IF(B9="","",A8+1))</f>
        <v>1</v>
      </c>
      <c r="B9" s="156" t="s">
        <v>45</v>
      </c>
      <c r="C9" s="157"/>
      <c r="D9" s="157" t="s">
        <v>46</v>
      </c>
      <c r="E9" s="80" t="str">
        <f t="shared" ref="E9:E11" si="3">IF(COUNTA(G9:S9)+COUNTA(V9:V9)=0,"",COUNTA(G9:S9)+COUNTA(V9:V9))</f>
        <v/>
      </c>
      <c r="F9" s="158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143" t="str">
        <f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/>
      </c>
      <c r="U9" s="144" t="e">
        <f>AVERAGE(MASCHI[[#This Row],[data1]:[data13]])</f>
        <v>#DIV/0!</v>
      </c>
      <c r="V9" s="112"/>
      <c r="W9" s="113"/>
      <c r="X9" s="114" t="str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/>
      </c>
      <c r="Y9" s="145" t="str">
        <f t="shared" ref="Y9:Y11" si="4">IFERROR(IF(E9=0,"",X9/E9),"")</f>
        <v/>
      </c>
      <c r="Z9" s="68"/>
    </row>
    <row r="10" spans="1:66" ht="25.5" customHeight="1">
      <c r="A10" s="155">
        <f t="shared" si="2"/>
        <v>2</v>
      </c>
      <c r="B10" s="156" t="s">
        <v>45</v>
      </c>
      <c r="C10" s="157"/>
      <c r="D10" s="157"/>
      <c r="E10" s="80" t="str">
        <f t="shared" si="3"/>
        <v/>
      </c>
      <c r="F10" s="158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43" t="str">
        <f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/>
      </c>
      <c r="U10" s="144" t="e">
        <f>AVERAGE(MASCHI[[#This Row],[data1]:[data13]])</f>
        <v>#DIV/0!</v>
      </c>
      <c r="V10" s="112"/>
      <c r="W10" s="113"/>
      <c r="X10" s="114" t="str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/>
      </c>
      <c r="Y10" s="145" t="str">
        <f t="shared" si="4"/>
        <v/>
      </c>
      <c r="Z10" s="68"/>
    </row>
    <row r="11" spans="1:66" ht="25.5" customHeight="1">
      <c r="A11" s="155">
        <f t="shared" si="2"/>
        <v>3</v>
      </c>
      <c r="B11" s="156" t="s">
        <v>45</v>
      </c>
      <c r="C11" s="157"/>
      <c r="D11" s="157"/>
      <c r="E11" s="80" t="str">
        <f t="shared" si="3"/>
        <v/>
      </c>
      <c r="F11" s="158"/>
      <c r="G11" s="82"/>
      <c r="H11" s="82"/>
      <c r="I11" s="166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110" t="str">
        <f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/>
      </c>
      <c r="U11" s="144" t="e">
        <f>AVERAGE(MASCHI[[#This Row],[data1]:[data13]])</f>
        <v>#DIV/0!</v>
      </c>
      <c r="V11" s="112"/>
      <c r="W11" s="113"/>
      <c r="X11" s="114" t="str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/>
      </c>
      <c r="Y11" s="145" t="str">
        <f t="shared" si="4"/>
        <v/>
      </c>
      <c r="Z11" s="68"/>
    </row>
    <row r="12" spans="1:66" ht="25.5" customHeight="1">
      <c r="Z12" s="68"/>
    </row>
    <row r="18" spans="1:6" ht="25.5" customHeight="1">
      <c r="F18" s="85"/>
    </row>
    <row r="19" spans="1:6" ht="25.5" customHeight="1">
      <c r="F19" s="85"/>
    </row>
    <row r="20" spans="1:6" ht="25.5" customHeight="1">
      <c r="A20" s="83"/>
      <c r="B20" s="84"/>
    </row>
    <row r="21" spans="1:6" ht="25.5" customHeight="1">
      <c r="A21" s="83"/>
      <c r="B21" s="84"/>
    </row>
    <row r="22" spans="1:6" ht="25.5" customHeight="1">
      <c r="A22" s="83"/>
      <c r="B22" s="84"/>
    </row>
    <row r="23" spans="1:6" ht="25.5" customHeight="1">
      <c r="A23" s="83"/>
      <c r="B23" s="84"/>
    </row>
    <row r="24" spans="1:6" ht="25.5" customHeight="1">
      <c r="A24" s="83"/>
      <c r="B24" s="84"/>
    </row>
    <row r="25" spans="1:6" ht="25.5" customHeight="1">
      <c r="A25" s="83"/>
      <c r="B25" s="84"/>
    </row>
    <row r="26" spans="1:6" ht="25.5" customHeight="1">
      <c r="A26" s="83"/>
      <c r="B26" s="84"/>
    </row>
    <row r="27" spans="1:6" ht="25.5" customHeight="1">
      <c r="A27" s="83"/>
      <c r="B27" s="84"/>
    </row>
    <row r="28" spans="1:6" ht="25.5" customHeight="1">
      <c r="A28" s="83"/>
      <c r="B28" s="84"/>
    </row>
    <row r="29" spans="1:6" ht="25.5" customHeight="1">
      <c r="A29" s="83"/>
      <c r="B29" s="84"/>
    </row>
    <row r="30" spans="1:6" ht="25.5" customHeight="1">
      <c r="A30" s="83"/>
      <c r="B30" s="84"/>
    </row>
    <row r="31" spans="1:6" ht="25.5" customHeight="1">
      <c r="A31" s="83"/>
      <c r="B31" s="84"/>
    </row>
    <row r="32" spans="1:6" ht="25.5" customHeight="1">
      <c r="A32" s="83"/>
      <c r="B32" s="84"/>
    </row>
    <row r="33" spans="1:6" ht="25.5" customHeight="1">
      <c r="A33" s="83"/>
      <c r="B33" s="84"/>
    </row>
    <row r="34" spans="1:6" ht="25.5" customHeight="1">
      <c r="A34" s="83"/>
      <c r="B34" s="84"/>
    </row>
    <row r="35" spans="1:6" ht="25.5" customHeight="1">
      <c r="A35" s="83"/>
      <c r="B35" s="84"/>
    </row>
    <row r="36" spans="1:6" ht="25.5" customHeight="1">
      <c r="A36" s="83"/>
      <c r="B36" s="84"/>
    </row>
    <row r="37" spans="1:6" ht="25.5" customHeight="1">
      <c r="A37" s="83"/>
      <c r="B37" s="84"/>
    </row>
    <row r="38" spans="1:6" ht="25.5" customHeight="1">
      <c r="A38" s="83"/>
      <c r="B38" s="84"/>
    </row>
    <row r="39" spans="1:6" ht="25.5" customHeight="1">
      <c r="A39" s="83"/>
      <c r="B39" s="84"/>
    </row>
    <row r="40" spans="1:6" ht="25.5" customHeight="1">
      <c r="A40" s="83"/>
      <c r="B40" s="84"/>
    </row>
    <row r="41" spans="1:6" ht="25.5" customHeight="1">
      <c r="A41" s="83"/>
      <c r="B41" s="84"/>
    </row>
    <row r="42" spans="1:6" ht="25.5" customHeight="1">
      <c r="A42" s="83"/>
      <c r="B42" s="84"/>
    </row>
    <row r="43" spans="1:6" ht="25.5" customHeight="1">
      <c r="A43" s="83"/>
      <c r="B43" s="84"/>
      <c r="F43" s="85"/>
    </row>
    <row r="44" spans="1:6" ht="25.5" customHeight="1">
      <c r="A44" s="83"/>
      <c r="B44" s="84"/>
      <c r="F44" s="85"/>
    </row>
    <row r="45" spans="1:6" ht="25.5" customHeight="1">
      <c r="A45" s="83"/>
      <c r="B45" s="84"/>
      <c r="F45" s="85"/>
    </row>
    <row r="46" spans="1:6" ht="25.5" customHeight="1">
      <c r="A46" s="83"/>
      <c r="B46" s="84"/>
      <c r="F46" s="85"/>
    </row>
    <row r="47" spans="1:6" ht="25.5" customHeight="1">
      <c r="A47" s="83"/>
      <c r="B47" s="84"/>
      <c r="F47" s="85"/>
    </row>
    <row r="48" spans="1:6" ht="25.5" customHeight="1">
      <c r="A48" s="83"/>
      <c r="B48" s="84"/>
      <c r="F48" s="85"/>
    </row>
    <row r="49" spans="1:6" ht="25.5" customHeight="1">
      <c r="A49" s="83"/>
      <c r="B49" s="84"/>
      <c r="F49" s="85"/>
    </row>
    <row r="50" spans="1:6" ht="25.5" customHeight="1">
      <c r="A50" s="83"/>
      <c r="B50" s="84"/>
      <c r="F50" s="85"/>
    </row>
    <row r="51" spans="1:6" ht="25.5" customHeight="1">
      <c r="A51" s="83"/>
      <c r="B51" s="84"/>
      <c r="F51" s="85"/>
    </row>
    <row r="52" spans="1:6" ht="25.5" customHeight="1">
      <c r="A52" s="83"/>
      <c r="B52" s="84"/>
      <c r="F52" s="85"/>
    </row>
    <row r="53" spans="1:6" ht="25.5" customHeight="1">
      <c r="A53" s="83"/>
      <c r="B53" s="84"/>
      <c r="F53" s="85"/>
    </row>
    <row r="54" spans="1:6" ht="25.5" customHeight="1">
      <c r="A54" s="83"/>
      <c r="B54" s="84"/>
      <c r="F54" s="85"/>
    </row>
    <row r="55" spans="1:6" ht="25.5" customHeight="1">
      <c r="A55" s="83"/>
      <c r="B55" s="84"/>
      <c r="F55" s="85"/>
    </row>
    <row r="56" spans="1:6" ht="25.5" customHeight="1">
      <c r="A56" s="83"/>
      <c r="B56" s="84"/>
      <c r="F56" s="85"/>
    </row>
    <row r="57" spans="1:6" ht="25.5" customHeight="1">
      <c r="A57" s="83"/>
      <c r="B57" s="84"/>
      <c r="F57" s="85"/>
    </row>
    <row r="58" spans="1:6" ht="25.5" customHeight="1">
      <c r="A58" s="83"/>
      <c r="B58" s="84"/>
      <c r="F58" s="85"/>
    </row>
    <row r="59" spans="1:6" ht="25.5" customHeight="1">
      <c r="A59" s="83"/>
      <c r="B59" s="84"/>
      <c r="F59" s="85"/>
    </row>
    <row r="60" spans="1:6" ht="25.5" customHeight="1">
      <c r="A60" s="83"/>
      <c r="B60" s="84"/>
      <c r="F60" s="85"/>
    </row>
    <row r="61" spans="1:6" ht="25.5" customHeight="1">
      <c r="A61" s="83"/>
      <c r="B61" s="84"/>
      <c r="F61" s="85"/>
    </row>
    <row r="62" spans="1:6" ht="25.5" customHeight="1">
      <c r="A62" s="83"/>
      <c r="B62" s="84"/>
      <c r="F62" s="85"/>
    </row>
    <row r="63" spans="1:6" ht="25.5" customHeight="1">
      <c r="A63" s="83"/>
      <c r="B63" s="84"/>
      <c r="F63" s="85"/>
    </row>
    <row r="64" spans="1:6" ht="25.5" customHeight="1">
      <c r="A64" s="83"/>
      <c r="B64" s="84"/>
      <c r="F64" s="85"/>
    </row>
    <row r="65" spans="1:6" ht="25.5" customHeight="1">
      <c r="A65" s="83"/>
      <c r="B65" s="84"/>
      <c r="F65" s="85"/>
    </row>
    <row r="66" spans="1:6" ht="25.5" customHeight="1">
      <c r="A66" s="83"/>
      <c r="B66" s="84"/>
      <c r="F66" s="85"/>
    </row>
    <row r="67" spans="1:6" ht="25.5" customHeight="1">
      <c r="A67" s="83"/>
      <c r="B67" s="84"/>
      <c r="F67" s="85"/>
    </row>
    <row r="68" spans="1:6" ht="25.5" customHeight="1">
      <c r="A68" s="83"/>
      <c r="B68" s="84"/>
      <c r="F68" s="85"/>
    </row>
    <row r="69" spans="1:6" ht="25.5" customHeight="1">
      <c r="A69" s="83"/>
      <c r="B69" s="84"/>
      <c r="F69" s="85"/>
    </row>
    <row r="70" spans="1:6" ht="25.5" customHeight="1">
      <c r="A70" s="83"/>
      <c r="B70" s="84"/>
      <c r="F70" s="85"/>
    </row>
    <row r="71" spans="1:6" ht="25.5" customHeight="1">
      <c r="A71" s="83"/>
      <c r="B71" s="84"/>
      <c r="F71" s="85"/>
    </row>
    <row r="72" spans="1:6" ht="25.5" customHeight="1">
      <c r="A72" s="83"/>
      <c r="B72" s="84"/>
      <c r="F72" s="85"/>
    </row>
    <row r="73" spans="1:6" ht="25.5" customHeight="1">
      <c r="A73" s="83"/>
      <c r="B73" s="84"/>
      <c r="F73" s="85"/>
    </row>
    <row r="74" spans="1:6" ht="25.5" customHeight="1">
      <c r="A74" s="83"/>
      <c r="B74" s="84"/>
      <c r="F74" s="85"/>
    </row>
    <row r="75" spans="1:6" ht="25.5" customHeight="1">
      <c r="A75" s="83"/>
      <c r="B75" s="84"/>
      <c r="F75" s="85"/>
    </row>
    <row r="76" spans="1:6" ht="25.5" customHeight="1">
      <c r="A76" s="83"/>
      <c r="B76" s="84"/>
      <c r="F76" s="85"/>
    </row>
    <row r="77" spans="1:6" ht="25.5" customHeight="1">
      <c r="A77" s="83"/>
      <c r="B77" s="84"/>
      <c r="F77" s="85"/>
    </row>
    <row r="78" spans="1:6" ht="25.5" customHeight="1">
      <c r="A78" s="83"/>
      <c r="B78" s="84"/>
      <c r="F78" s="85"/>
    </row>
    <row r="79" spans="1:6" ht="25.5" customHeight="1">
      <c r="A79" s="83"/>
      <c r="B79" s="84"/>
      <c r="F79" s="85"/>
    </row>
    <row r="80" spans="1:6" ht="25.5" customHeight="1">
      <c r="A80" s="83"/>
      <c r="B80" s="84"/>
      <c r="F80" s="85"/>
    </row>
    <row r="81" spans="1:22" ht="25.5" customHeight="1">
      <c r="A81" s="83"/>
      <c r="B81" s="84"/>
      <c r="F81" s="85"/>
    </row>
    <row r="82" spans="1:22" ht="25.5" customHeight="1">
      <c r="A82" s="83"/>
      <c r="B82" s="84"/>
      <c r="F82" s="85"/>
    </row>
    <row r="83" spans="1:22" ht="25.5" customHeight="1">
      <c r="A83" s="83"/>
      <c r="B83" s="84"/>
      <c r="F83" s="85"/>
    </row>
    <row r="84" spans="1:22" ht="25.5" customHeight="1">
      <c r="A84" s="83"/>
      <c r="B84" s="84"/>
      <c r="F84" s="85"/>
    </row>
    <row r="85" spans="1:22" ht="25.5" customHeight="1">
      <c r="A85" s="83"/>
      <c r="B85" s="84"/>
      <c r="F85" s="85"/>
    </row>
    <row r="86" spans="1:22" ht="25.5" customHeight="1">
      <c r="A86" s="83"/>
      <c r="B86" s="84"/>
      <c r="E86" s="118"/>
      <c r="F86" s="87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</row>
    <row r="87" spans="1:22" ht="25.5" customHeight="1">
      <c r="A87" s="83"/>
      <c r="B87" s="84"/>
      <c r="E87" s="118"/>
      <c r="F87" s="87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</row>
    <row r="88" spans="1:22" ht="25.5" customHeight="1">
      <c r="A88" s="83"/>
      <c r="E88" s="118"/>
      <c r="F88" s="86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15"/>
      <c r="U88" s="118"/>
      <c r="V88" s="118"/>
    </row>
    <row r="89" spans="1:22" ht="25.5" customHeight="1">
      <c r="A89" s="83"/>
      <c r="E89" s="118"/>
      <c r="F89" s="86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118"/>
      <c r="U89" s="118"/>
      <c r="V89" s="87"/>
    </row>
    <row r="90" spans="1:22" ht="25.5" customHeight="1">
      <c r="A90" s="83"/>
      <c r="E90" s="118"/>
      <c r="F90" s="86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118"/>
      <c r="U90" s="118"/>
      <c r="V90" s="87"/>
    </row>
    <row r="91" spans="1:22" ht="25.5" customHeight="1">
      <c r="A91" s="83"/>
      <c r="E91" s="118"/>
      <c r="F91" s="86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115"/>
      <c r="U91" s="118"/>
      <c r="V91" s="102"/>
    </row>
    <row r="92" spans="1:22" ht="25.5" customHeight="1">
      <c r="A92" s="83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02"/>
    </row>
    <row r="93" spans="1:22" ht="25.5" customHeight="1">
      <c r="A93" s="83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</row>
    <row r="94" spans="1:22" ht="25.5" customHeight="1">
      <c r="A94" s="83"/>
      <c r="B94" s="88"/>
      <c r="C94" s="90"/>
      <c r="D94" s="90"/>
      <c r="E94" s="180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</row>
    <row r="95" spans="1:22" ht="25.5" customHeight="1">
      <c r="A95" s="83"/>
      <c r="B95" s="91"/>
      <c r="C95" s="92"/>
      <c r="D95" s="92"/>
      <c r="E95" s="181"/>
      <c r="F95" s="94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</row>
    <row r="96" spans="1:22" ht="25.5" customHeight="1">
      <c r="A96" s="83"/>
      <c r="B96" s="101"/>
      <c r="C96" s="96"/>
      <c r="D96" s="96"/>
      <c r="E96" s="182"/>
      <c r="F96" s="9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</row>
    <row r="97" spans="1:22" ht="25.5" customHeight="1">
      <c r="A97" s="83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</row>
    <row r="98" spans="1:22" ht="25.5" customHeight="1">
      <c r="A98" s="83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</row>
    <row r="99" spans="1:22" ht="25.5" customHeight="1">
      <c r="A99" s="83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</row>
    <row r="100" spans="1:22" ht="25.5" customHeight="1">
      <c r="A100" s="83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</row>
    <row r="101" spans="1:22" ht="25.5" customHeight="1">
      <c r="A101" s="99"/>
      <c r="B101" s="101"/>
      <c r="E101" s="183"/>
      <c r="F101" s="184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</row>
    <row r="102" spans="1:22" ht="25.5" customHeight="1">
      <c r="A102" s="99"/>
      <c r="B102" s="101"/>
      <c r="E102" s="183"/>
      <c r="F102" s="184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</row>
    <row r="103" spans="1:22" ht="25.5" customHeight="1">
      <c r="A103" s="99"/>
      <c r="B103" s="101"/>
      <c r="E103" s="100"/>
      <c r="F103" s="101"/>
    </row>
    <row r="104" spans="1:22" ht="25.5" customHeight="1">
      <c r="A104" s="99"/>
      <c r="B104" s="101"/>
      <c r="E104" s="100"/>
      <c r="F104" s="101"/>
    </row>
    <row r="105" spans="1:22" ht="25.5" customHeight="1">
      <c r="A105" s="99"/>
      <c r="B105" s="101"/>
      <c r="E105" s="100"/>
      <c r="F105" s="101"/>
    </row>
    <row r="106" spans="1:22" ht="25.5" customHeight="1">
      <c r="A106" s="99"/>
      <c r="B106" s="101"/>
      <c r="E106" s="100"/>
      <c r="F106" s="101"/>
    </row>
    <row r="107" spans="1:22" ht="25.5" customHeight="1">
      <c r="A107" s="99"/>
      <c r="B107" s="101"/>
      <c r="E107" s="100"/>
      <c r="F107" s="101"/>
    </row>
    <row r="108" spans="1:22" ht="25.5" customHeight="1">
      <c r="A108" s="99"/>
      <c r="B108" s="101"/>
      <c r="E108" s="100"/>
      <c r="F108" s="101"/>
    </row>
    <row r="109" spans="1:22" ht="25.5" customHeight="1">
      <c r="A109" s="99"/>
      <c r="B109" s="101"/>
      <c r="E109" s="100"/>
      <c r="F109" s="101"/>
    </row>
    <row r="110" spans="1:22" ht="25.5" customHeight="1">
      <c r="A110" s="99"/>
      <c r="B110" s="101"/>
      <c r="E110" s="100"/>
      <c r="F110" s="101"/>
    </row>
    <row r="111" spans="1:22" ht="25.5" customHeight="1">
      <c r="A111" s="99"/>
      <c r="B111" s="101"/>
      <c r="E111" s="100"/>
      <c r="F111" s="101"/>
    </row>
    <row r="112" spans="1:22" ht="25.5" customHeight="1">
      <c r="A112" s="99"/>
      <c r="B112" s="101"/>
      <c r="E112" s="100"/>
      <c r="F112" s="101"/>
    </row>
    <row r="113" spans="1:6" ht="25.5" customHeight="1">
      <c r="A113" s="99"/>
      <c r="B113" s="101"/>
      <c r="E113" s="100"/>
      <c r="F113" s="101"/>
    </row>
    <row r="114" spans="1:6" ht="25.5" customHeight="1">
      <c r="A114" s="99"/>
      <c r="B114" s="101"/>
      <c r="E114" s="100"/>
      <c r="F114" s="101"/>
    </row>
    <row r="115" spans="1:6" ht="25.5" customHeight="1">
      <c r="A115" s="99"/>
      <c r="B115" s="101"/>
      <c r="E115" s="100"/>
      <c r="F115" s="101"/>
    </row>
    <row r="116" spans="1:6" ht="25.5" customHeight="1">
      <c r="A116" s="99"/>
      <c r="B116" s="101"/>
      <c r="E116" s="100"/>
      <c r="F116" s="101"/>
    </row>
    <row r="117" spans="1:6" ht="25.5" customHeight="1">
      <c r="A117" s="99"/>
      <c r="B117" s="101"/>
      <c r="E117" s="100"/>
      <c r="F117" s="101"/>
    </row>
    <row r="118" spans="1:6" ht="25.5" customHeight="1">
      <c r="A118" s="99"/>
      <c r="B118" s="101"/>
      <c r="E118" s="100"/>
      <c r="F118" s="101"/>
    </row>
    <row r="119" spans="1:6" ht="25.5" customHeight="1">
      <c r="A119" s="99"/>
      <c r="B119" s="101"/>
      <c r="E119" s="100"/>
      <c r="F119" s="101"/>
    </row>
    <row r="120" spans="1:6" ht="25.5" customHeight="1">
      <c r="A120" s="99"/>
      <c r="B120" s="101"/>
      <c r="E120" s="100"/>
      <c r="F120" s="101"/>
    </row>
    <row r="121" spans="1:6" ht="25.5" customHeight="1">
      <c r="A121" s="99"/>
      <c r="B121" s="101"/>
      <c r="E121" s="100"/>
      <c r="F121" s="101"/>
    </row>
    <row r="122" spans="1:6" ht="25.5" customHeight="1">
      <c r="A122" s="99"/>
      <c r="B122" s="101"/>
      <c r="E122" s="100"/>
      <c r="F122" s="101"/>
    </row>
    <row r="123" spans="1:6" ht="25.5" customHeight="1">
      <c r="A123" s="99"/>
      <c r="B123" s="101"/>
      <c r="E123" s="100"/>
      <c r="F123" s="101"/>
    </row>
    <row r="124" spans="1:6" ht="25.5" customHeight="1">
      <c r="A124" s="99"/>
      <c r="B124" s="101"/>
      <c r="E124" s="100"/>
      <c r="F124" s="101"/>
    </row>
    <row r="125" spans="1:6" ht="25.5" customHeight="1">
      <c r="A125" s="99"/>
      <c r="B125" s="101"/>
      <c r="E125" s="100"/>
      <c r="F125" s="101"/>
    </row>
    <row r="126" spans="1:6" ht="25.5" customHeight="1">
      <c r="A126" s="99"/>
      <c r="B126" s="101"/>
      <c r="E126" s="100"/>
      <c r="F126" s="101"/>
    </row>
    <row r="127" spans="1:6" ht="25.5" customHeight="1">
      <c r="A127" s="99"/>
      <c r="B127" s="101"/>
      <c r="E127" s="100"/>
      <c r="F127" s="101"/>
    </row>
    <row r="128" spans="1:6" ht="25.5" customHeight="1">
      <c r="A128" s="99"/>
      <c r="B128" s="101"/>
      <c r="E128" s="100"/>
      <c r="F128" s="101"/>
    </row>
    <row r="129" spans="1:6" ht="25.5" customHeight="1">
      <c r="A129" s="99"/>
      <c r="B129" s="101"/>
      <c r="E129" s="100"/>
      <c r="F129" s="101"/>
    </row>
    <row r="130" spans="1:6" ht="25.5" customHeight="1">
      <c r="A130" s="99"/>
      <c r="B130" s="101"/>
      <c r="E130" s="100"/>
      <c r="F130" s="101"/>
    </row>
    <row r="131" spans="1:6" ht="25.5" customHeight="1">
      <c r="A131" s="99"/>
      <c r="B131" s="101"/>
      <c r="E131" s="100"/>
      <c r="F131" s="101"/>
    </row>
    <row r="132" spans="1:6" ht="25.5" customHeight="1">
      <c r="A132" s="99"/>
      <c r="B132" s="101"/>
      <c r="E132" s="100"/>
      <c r="F132" s="101"/>
    </row>
    <row r="133" spans="1:6" ht="25.5" customHeight="1">
      <c r="A133" s="99"/>
      <c r="B133" s="101"/>
      <c r="E133" s="100"/>
      <c r="F133" s="101"/>
    </row>
    <row r="134" spans="1:6" ht="25.5" customHeight="1">
      <c r="A134" s="99"/>
      <c r="B134" s="101"/>
      <c r="E134" s="100"/>
      <c r="F134" s="101"/>
    </row>
    <row r="135" spans="1:6" ht="25.5" customHeight="1">
      <c r="A135" s="99"/>
      <c r="B135" s="101"/>
      <c r="E135" s="100"/>
      <c r="F135" s="101"/>
    </row>
    <row r="136" spans="1:6" ht="25.5" customHeight="1">
      <c r="A136" s="99"/>
      <c r="B136" s="101"/>
      <c r="E136" s="100"/>
      <c r="F136" s="101"/>
    </row>
    <row r="137" spans="1:6" ht="25.5" customHeight="1">
      <c r="A137" s="99"/>
      <c r="B137" s="101"/>
      <c r="E137" s="100"/>
      <c r="F137" s="101"/>
    </row>
    <row r="138" spans="1:6" ht="25.5" customHeight="1">
      <c r="A138" s="99"/>
      <c r="B138" s="101"/>
      <c r="E138" s="100"/>
      <c r="F138" s="101"/>
    </row>
    <row r="139" spans="1:6" ht="25.5" customHeight="1">
      <c r="A139" s="99"/>
      <c r="B139" s="101"/>
      <c r="E139" s="100"/>
      <c r="F139" s="101"/>
    </row>
    <row r="140" spans="1:6" ht="25.5" customHeight="1">
      <c r="A140" s="99"/>
      <c r="B140" s="101"/>
      <c r="E140" s="100"/>
      <c r="F140" s="101"/>
    </row>
    <row r="141" spans="1:6" ht="25.5" customHeight="1">
      <c r="A141" s="99"/>
      <c r="B141" s="101"/>
      <c r="E141" s="100"/>
      <c r="F141" s="101"/>
    </row>
    <row r="142" spans="1:6" ht="25.5" customHeight="1">
      <c r="A142" s="99"/>
      <c r="B142" s="101"/>
      <c r="E142" s="100"/>
      <c r="F142" s="101"/>
    </row>
    <row r="143" spans="1:6" ht="25.5" customHeight="1">
      <c r="A143" s="99"/>
      <c r="B143" s="101"/>
      <c r="E143" s="100"/>
      <c r="F143" s="101"/>
    </row>
    <row r="144" spans="1:6" ht="25.5" customHeight="1">
      <c r="A144" s="99"/>
      <c r="B144" s="101"/>
      <c r="E144" s="100"/>
      <c r="F144" s="101"/>
    </row>
    <row r="145" spans="1:6" ht="25.5" customHeight="1">
      <c r="A145" s="99"/>
      <c r="B145" s="101"/>
      <c r="E145" s="100"/>
      <c r="F145" s="101"/>
    </row>
    <row r="146" spans="1:6" ht="25.5" customHeight="1">
      <c r="A146" s="99"/>
      <c r="B146" s="101"/>
      <c r="E146" s="100"/>
      <c r="F146" s="101"/>
    </row>
    <row r="147" spans="1:6" ht="25.5" customHeight="1">
      <c r="A147" s="99"/>
      <c r="B147" s="101"/>
      <c r="E147" s="100"/>
      <c r="F147" s="101"/>
    </row>
    <row r="148" spans="1:6" ht="25.5" customHeight="1">
      <c r="A148" s="99"/>
      <c r="B148" s="101"/>
      <c r="E148" s="100"/>
      <c r="F148" s="101"/>
    </row>
    <row r="149" spans="1:6" ht="25.5" customHeight="1">
      <c r="A149" s="99"/>
      <c r="B149" s="101"/>
      <c r="E149" s="100"/>
      <c r="F149" s="101"/>
    </row>
    <row r="150" spans="1:6" ht="25.5" customHeight="1">
      <c r="A150" s="99"/>
      <c r="B150" s="101"/>
      <c r="E150" s="100"/>
      <c r="F150" s="101"/>
    </row>
    <row r="151" spans="1:6" ht="25.5" customHeight="1">
      <c r="A151" s="99"/>
      <c r="B151" s="101"/>
      <c r="E151" s="100"/>
      <c r="F151" s="101"/>
    </row>
    <row r="152" spans="1:6" ht="25.5" customHeight="1">
      <c r="A152" s="99"/>
      <c r="B152" s="101"/>
      <c r="E152" s="100"/>
      <c r="F152" s="101"/>
    </row>
    <row r="153" spans="1:6" ht="25.5" customHeight="1">
      <c r="A153" s="99"/>
      <c r="B153" s="101"/>
      <c r="E153" s="100"/>
      <c r="F153" s="101"/>
    </row>
    <row r="154" spans="1:6" ht="25.5" customHeight="1">
      <c r="A154" s="99"/>
      <c r="B154" s="101"/>
      <c r="E154" s="100"/>
      <c r="F154" s="101"/>
    </row>
    <row r="155" spans="1:6" ht="25.5" customHeight="1">
      <c r="A155" s="99"/>
      <c r="B155" s="101"/>
      <c r="E155" s="100"/>
      <c r="F155" s="101"/>
    </row>
    <row r="156" spans="1:6" ht="25.5" customHeight="1">
      <c r="A156" s="99"/>
      <c r="B156" s="101"/>
      <c r="E156" s="100"/>
      <c r="F156" s="101"/>
    </row>
    <row r="157" spans="1:6" ht="25.5" customHeight="1">
      <c r="A157" s="99"/>
      <c r="B157" s="101"/>
      <c r="E157" s="100"/>
      <c r="F157" s="101"/>
    </row>
    <row r="158" spans="1:6" ht="25.5" customHeight="1">
      <c r="B158" s="116"/>
      <c r="C158" s="100"/>
      <c r="D158" s="100"/>
      <c r="E158" s="100"/>
      <c r="F158" s="85"/>
    </row>
    <row r="159" spans="1:6" ht="25.5" customHeight="1">
      <c r="B159" s="116"/>
      <c r="C159" s="100"/>
      <c r="D159" s="100"/>
      <c r="E159" s="100"/>
      <c r="F159" s="85"/>
    </row>
    <row r="160" spans="1:6" ht="25.5" customHeight="1">
      <c r="B160" s="117"/>
      <c r="C160" s="100"/>
      <c r="D160" s="100"/>
      <c r="E160" s="100"/>
      <c r="F160" s="85"/>
    </row>
    <row r="161" spans="2:6" ht="25.5" customHeight="1">
      <c r="B161" s="116"/>
      <c r="C161" s="100"/>
      <c r="D161" s="100"/>
      <c r="E161" s="100"/>
      <c r="F161" s="85"/>
    </row>
    <row r="162" spans="2:6" ht="25.5" customHeight="1">
      <c r="B162" s="116"/>
      <c r="C162" s="100"/>
      <c r="D162" s="100"/>
      <c r="E162" s="100"/>
      <c r="F162" s="85"/>
    </row>
    <row r="163" spans="2:6" ht="25.5" customHeight="1">
      <c r="B163" s="117"/>
      <c r="C163" s="100"/>
      <c r="D163" s="100"/>
      <c r="E163" s="100"/>
      <c r="F163" s="85"/>
    </row>
    <row r="164" spans="2:6" ht="25.5" customHeight="1">
      <c r="B164" s="116"/>
      <c r="C164" s="100"/>
      <c r="D164" s="100"/>
      <c r="E164" s="100"/>
      <c r="F164" s="85"/>
    </row>
    <row r="165" spans="2:6" ht="25.5" customHeight="1">
      <c r="B165" s="116"/>
      <c r="C165" s="100"/>
      <c r="D165" s="100"/>
      <c r="E165" s="100"/>
      <c r="F165" s="85"/>
    </row>
    <row r="166" spans="2:6" ht="25.5" customHeight="1">
      <c r="B166" s="116"/>
      <c r="C166" s="100"/>
      <c r="D166" s="100"/>
      <c r="E166" s="100"/>
      <c r="F166" s="85"/>
    </row>
    <row r="167" spans="2:6" ht="25.5" customHeight="1">
      <c r="B167" s="116"/>
      <c r="C167" s="100"/>
      <c r="D167" s="100"/>
      <c r="E167" s="100"/>
      <c r="F167" s="85"/>
    </row>
    <row r="168" spans="2:6" ht="25.5" customHeight="1">
      <c r="B168" s="116"/>
      <c r="C168" s="100"/>
      <c r="D168" s="100"/>
      <c r="E168" s="100"/>
      <c r="F168" s="85"/>
    </row>
  </sheetData>
  <mergeCells count="7">
    <mergeCell ref="A1:Y1"/>
    <mergeCell ref="T6:T7"/>
    <mergeCell ref="V6:V7"/>
    <mergeCell ref="X6:X7"/>
    <mergeCell ref="Y6:Y7"/>
    <mergeCell ref="A4:E6"/>
    <mergeCell ref="G4:Y5"/>
  </mergeCells>
  <conditionalFormatting sqref="G9:S11">
    <cfRule type="containsBlanks" dxfId="119" priority="2">
      <formula>LEN(TRIM(G9))=0</formula>
    </cfRule>
  </conditionalFormatting>
  <dataValidations count="1">
    <dataValidation type="list" allowBlank="1" showInputMessage="1" showErrorMessage="1" sqref="D9:D11">
      <formula1>CATEGORIA</formula1>
    </dataValidation>
  </dataValidations>
  <printOptions horizontalCentered="1" verticalCentered="1" gridLines="1"/>
  <pageMargins left="0" right="0" top="0" bottom="0" header="0.31496062992126" footer="0.31496062992126"/>
  <pageSetup paperSize="9" scale="45" fitToHeight="3" orientation="landscape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9"/>
  <sheetViews>
    <sheetView zoomScale="70" zoomScaleNormal="70" workbookViewId="0">
      <selection activeCell="O22" sqref="O22"/>
    </sheetView>
  </sheetViews>
  <sheetFormatPr defaultColWidth="9.140625" defaultRowHeight="25.5" customHeight="1"/>
  <cols>
    <col min="1" max="1" width="10.42578125" style="66" customWidth="1"/>
    <col min="2" max="2" width="42.5703125" style="66" customWidth="1"/>
    <col min="3" max="3" width="16.85546875" style="66" customWidth="1"/>
    <col min="4" max="4" width="14.5703125" style="66" customWidth="1"/>
    <col min="5" max="5" width="13.5703125" style="66" customWidth="1"/>
    <col min="6" max="6" width="21.42578125" style="66" customWidth="1"/>
    <col min="7" max="7" width="12.7109375" style="66" customWidth="1"/>
    <col min="8" max="8" width="13.28515625" style="66" customWidth="1"/>
    <col min="9" max="9" width="12.28515625" style="66" customWidth="1"/>
    <col min="10" max="18" width="12.5703125" style="66" customWidth="1"/>
    <col min="19" max="19" width="14.7109375" style="66" customWidth="1"/>
    <col min="20" max="20" width="15" style="66" customWidth="1"/>
    <col min="21" max="21" width="4" style="66" customWidth="1"/>
    <col min="22" max="22" width="15.140625" style="66" customWidth="1"/>
    <col min="23" max="23" width="4" style="66" customWidth="1"/>
    <col min="24" max="25" width="15" style="66" customWidth="1"/>
    <col min="26" max="16384" width="9.140625" style="66"/>
  </cols>
  <sheetData>
    <row r="1" spans="1:31" ht="72.95" customHeight="1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50"/>
    </row>
    <row r="2" spans="1:31" ht="25.5" customHeight="1">
      <c r="A2" s="69"/>
      <c r="B2" s="69"/>
      <c r="C2" s="69"/>
      <c r="D2" s="69"/>
      <c r="E2" s="69"/>
      <c r="F2" s="69"/>
      <c r="G2" s="71">
        <f>IF(COUNTA(FEMMINE[data1])=0,0,COUNTA(FEMMINE[data1]))</f>
        <v>0</v>
      </c>
      <c r="H2" s="71">
        <f>IF(COUNTA(FEMMINE[data2])=0,0,COUNTA(FEMMINE[data2]))</f>
        <v>0</v>
      </c>
      <c r="I2" s="71">
        <f>IF(COUNTA(FEMMINE[data3])=0,0,COUNTA(FEMMINE[data3]))</f>
        <v>0</v>
      </c>
      <c r="J2" s="71">
        <f>IF(COUNTA(FEMMINE[data4])=0,0,COUNTA(FEMMINE[data4]))</f>
        <v>0</v>
      </c>
      <c r="K2" s="71">
        <f>IF(COUNTA(FEMMINE[data5])=0,0,COUNTA(FEMMINE[data5]))</f>
        <v>0</v>
      </c>
      <c r="L2" s="71">
        <f>IF(COUNTA(FEMMINE[data6])=0,0,COUNTA(FEMMINE[data6]))</f>
        <v>0</v>
      </c>
      <c r="M2" s="71">
        <f>IF(COUNTA(FEMMINE[data7])=0,0,COUNTA(FEMMINE[data7]))</f>
        <v>0</v>
      </c>
      <c r="N2" s="71">
        <f>IF(COUNTA(FEMMINE[data8])=0,0,COUNTA(FEMMINE[data8]))</f>
        <v>0</v>
      </c>
      <c r="O2" s="71">
        <f>IF(COUNTA(FEMMINE[data9])=0,0,COUNTA(FEMMINE[data9]))</f>
        <v>0</v>
      </c>
      <c r="P2" s="71">
        <f>IF(COUNTA(FEMMINE[data10])=0,0,COUNTA(FEMMINE[data10]))</f>
        <v>0</v>
      </c>
      <c r="Q2" s="71">
        <f>IF(COUNTA(FEMMINE[data11])=0,0,COUNTA(FEMMINE[data11]))</f>
        <v>0</v>
      </c>
      <c r="R2" s="71">
        <f>IF(COUNTA(FEMMINE[data12])=0,0,COUNTA(FEMMINE[data12]))</f>
        <v>0</v>
      </c>
      <c r="S2" s="71">
        <f>IF(COUNTA(FEMMINE[data13])=0,0,COUNTA(FEMMINE[data13]))</f>
        <v>0</v>
      </c>
      <c r="T2" s="71"/>
      <c r="U2" s="71"/>
      <c r="V2" s="71">
        <f>IF(COUNTA(FEMMINE[data13])=0,0,COUNTA(FEMMINE[data13]))</f>
        <v>0</v>
      </c>
      <c r="W2" s="69"/>
      <c r="X2" s="69"/>
      <c r="Y2" s="69"/>
    </row>
    <row r="3" spans="1:31" ht="25.5" customHeight="1">
      <c r="A3" s="69"/>
      <c r="B3" s="272"/>
      <c r="C3" s="272"/>
      <c r="D3" s="272"/>
      <c r="E3" s="272"/>
      <c r="F3" s="72"/>
      <c r="G3" s="71">
        <f>IF(G2=0,0,1)</f>
        <v>0</v>
      </c>
      <c r="H3" s="71">
        <f>IF(H2=0,0,1)</f>
        <v>0</v>
      </c>
      <c r="I3" s="71">
        <f t="shared" ref="I3:S3" si="0">IF(I2=0,0,1)</f>
        <v>0</v>
      </c>
      <c r="J3" s="71">
        <f t="shared" si="0"/>
        <v>0</v>
      </c>
      <c r="K3" s="71">
        <f t="shared" si="0"/>
        <v>0</v>
      </c>
      <c r="L3" s="71">
        <f t="shared" si="0"/>
        <v>0</v>
      </c>
      <c r="M3" s="71">
        <f t="shared" si="0"/>
        <v>0</v>
      </c>
      <c r="N3" s="71">
        <f t="shared" si="0"/>
        <v>0</v>
      </c>
      <c r="O3" s="71">
        <f t="shared" si="0"/>
        <v>0</v>
      </c>
      <c r="P3" s="71">
        <f t="shared" si="0"/>
        <v>0</v>
      </c>
      <c r="Q3" s="71">
        <f t="shared" si="0"/>
        <v>0</v>
      </c>
      <c r="R3" s="71">
        <f t="shared" si="0"/>
        <v>0</v>
      </c>
      <c r="S3" s="71">
        <f t="shared" si="0"/>
        <v>0</v>
      </c>
      <c r="T3" s="71">
        <f>SUM(G3:S3)+V3</f>
        <v>0</v>
      </c>
      <c r="U3" s="71"/>
      <c r="V3" s="71">
        <f t="shared" ref="V3" si="1">IF(V2=0,0,1)</f>
        <v>0</v>
      </c>
      <c r="W3" s="69"/>
      <c r="X3" s="69"/>
      <c r="Y3" s="69"/>
    </row>
    <row r="4" spans="1:31" ht="25.5" customHeight="1">
      <c r="A4" s="275" t="s">
        <v>47</v>
      </c>
      <c r="B4" s="276"/>
      <c r="C4" s="276"/>
      <c r="D4" s="276"/>
      <c r="E4" s="277"/>
      <c r="F4" s="73"/>
      <c r="G4" s="284" t="s">
        <v>2</v>
      </c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6"/>
    </row>
    <row r="5" spans="1:31" ht="25.5" customHeight="1">
      <c r="A5" s="278"/>
      <c r="B5" s="279"/>
      <c r="C5" s="279"/>
      <c r="D5" s="279"/>
      <c r="E5" s="280"/>
      <c r="F5" s="74"/>
      <c r="G5" s="287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9"/>
    </row>
    <row r="6" spans="1:31" ht="25.5" customHeight="1">
      <c r="A6" s="281"/>
      <c r="B6" s="282"/>
      <c r="C6" s="282"/>
      <c r="D6" s="282"/>
      <c r="E6" s="283"/>
      <c r="F6" s="69"/>
      <c r="G6" s="75" t="s">
        <v>3</v>
      </c>
      <c r="H6" s="75" t="s">
        <v>4</v>
      </c>
      <c r="I6" s="75" t="s">
        <v>5</v>
      </c>
      <c r="J6" s="75" t="s">
        <v>6</v>
      </c>
      <c r="K6" s="75" t="s">
        <v>7</v>
      </c>
      <c r="L6" s="75" t="s">
        <v>8</v>
      </c>
      <c r="M6" s="75" t="s">
        <v>9</v>
      </c>
      <c r="N6" s="75" t="s">
        <v>10</v>
      </c>
      <c r="O6" s="75" t="s">
        <v>11</v>
      </c>
      <c r="P6" s="75" t="s">
        <v>12</v>
      </c>
      <c r="Q6" s="75" t="s">
        <v>13</v>
      </c>
      <c r="R6" s="75" t="s">
        <v>14</v>
      </c>
      <c r="S6" s="167" t="s">
        <v>15</v>
      </c>
      <c r="T6" s="273"/>
      <c r="U6" s="103"/>
      <c r="V6" s="253" t="s">
        <v>16</v>
      </c>
      <c r="W6" s="103"/>
      <c r="X6" s="255" t="s">
        <v>17</v>
      </c>
      <c r="Y6" s="256" t="s">
        <v>18</v>
      </c>
      <c r="Z6" s="104"/>
      <c r="AA6" s="104"/>
      <c r="AB6" s="104"/>
      <c r="AC6" s="104"/>
      <c r="AD6" s="104"/>
      <c r="AE6" s="104"/>
    </row>
    <row r="7" spans="1:31" s="65" customFormat="1" ht="25.5" customHeight="1">
      <c r="A7" s="69"/>
      <c r="B7" s="69"/>
      <c r="C7" s="69"/>
      <c r="D7" s="69"/>
      <c r="E7" s="69"/>
      <c r="F7" s="69"/>
      <c r="G7" s="77" t="s">
        <v>19</v>
      </c>
      <c r="H7" s="77" t="s">
        <v>19</v>
      </c>
      <c r="I7" s="77" t="s">
        <v>19</v>
      </c>
      <c r="J7" s="77" t="s">
        <v>19</v>
      </c>
      <c r="K7" s="77" t="s">
        <v>19</v>
      </c>
      <c r="L7" s="77" t="s">
        <v>19</v>
      </c>
      <c r="M7" s="77" t="s">
        <v>19</v>
      </c>
      <c r="N7" s="77" t="s">
        <v>19</v>
      </c>
      <c r="O7" s="77" t="s">
        <v>19</v>
      </c>
      <c r="P7" s="77" t="s">
        <v>19</v>
      </c>
      <c r="Q7" s="77" t="s">
        <v>19</v>
      </c>
      <c r="R7" s="77" t="s">
        <v>19</v>
      </c>
      <c r="S7" s="168" t="s">
        <v>19</v>
      </c>
      <c r="T7" s="274"/>
      <c r="U7" s="105"/>
      <c r="V7" s="254"/>
      <c r="W7" s="105"/>
      <c r="X7" s="255"/>
      <c r="Y7" s="256"/>
    </row>
    <row r="8" spans="1:31" ht="25.5" customHeight="1">
      <c r="A8" s="128" t="s">
        <v>20</v>
      </c>
      <c r="B8" s="129" t="s">
        <v>21</v>
      </c>
      <c r="C8" s="130" t="s">
        <v>22</v>
      </c>
      <c r="D8" s="130" t="s">
        <v>23</v>
      </c>
      <c r="E8" s="131" t="s">
        <v>24</v>
      </c>
      <c r="F8" s="130" t="s">
        <v>25</v>
      </c>
      <c r="G8" s="188" t="s">
        <v>26</v>
      </c>
      <c r="H8" s="188" t="s">
        <v>27</v>
      </c>
      <c r="I8" s="188" t="s">
        <v>28</v>
      </c>
      <c r="J8" s="188" t="s">
        <v>29</v>
      </c>
      <c r="K8" s="188" t="s">
        <v>30</v>
      </c>
      <c r="L8" s="188" t="s">
        <v>31</v>
      </c>
      <c r="M8" s="188" t="s">
        <v>32</v>
      </c>
      <c r="N8" s="188" t="s">
        <v>33</v>
      </c>
      <c r="O8" s="188" t="s">
        <v>34</v>
      </c>
      <c r="P8" s="188" t="s">
        <v>35</v>
      </c>
      <c r="Q8" s="188" t="s">
        <v>36</v>
      </c>
      <c r="R8" s="188" t="s">
        <v>37</v>
      </c>
      <c r="S8" s="189" t="s">
        <v>38</v>
      </c>
      <c r="T8" s="44" t="s">
        <v>39</v>
      </c>
      <c r="U8" s="106" t="s">
        <v>40</v>
      </c>
      <c r="V8" s="187" t="s">
        <v>41</v>
      </c>
      <c r="W8" s="107" t="s">
        <v>42</v>
      </c>
      <c r="X8" s="108" t="s">
        <v>43</v>
      </c>
      <c r="Y8" s="142" t="s">
        <v>44</v>
      </c>
      <c r="Z8" s="68"/>
    </row>
    <row r="9" spans="1:31" ht="25.5" customHeight="1">
      <c r="A9" s="155">
        <f t="shared" ref="A9:A11" si="2">IF(A8="Elenco",1,IF(B9="","",A8+1))</f>
        <v>1</v>
      </c>
      <c r="B9" s="156" t="s">
        <v>45</v>
      </c>
      <c r="C9" s="157">
        <v>2003</v>
      </c>
      <c r="D9" s="157" t="s">
        <v>48</v>
      </c>
      <c r="E9" s="80" t="str">
        <f t="shared" ref="E9:E11" si="3">IF(COUNTA(G9:S9)+COUNTA(V9:V9)=0,"",COUNTA(G9:S9)+COUNTA(V9:V9))</f>
        <v/>
      </c>
      <c r="F9" s="158" t="s">
        <v>49</v>
      </c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143" t="str">
        <f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/>
      </c>
      <c r="U9" s="111" t="e">
        <f>AVERAGE(FEMMINE[[#This Row],[data1]:[data13]])</f>
        <v>#DIV/0!</v>
      </c>
      <c r="V9" s="112"/>
      <c r="W9" s="113"/>
      <c r="X9" s="114" t="str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/>
      </c>
      <c r="Y9" s="145" t="str">
        <f t="shared" ref="Y9:Y11" si="4">IFERROR(IF(E9=0,"",X9/E9),"")</f>
        <v/>
      </c>
      <c r="Z9" s="68"/>
    </row>
    <row r="10" spans="1:31" ht="25.5" customHeight="1">
      <c r="A10" s="155">
        <f t="shared" si="2"/>
        <v>2</v>
      </c>
      <c r="B10" s="156" t="s">
        <v>45</v>
      </c>
      <c r="C10" s="157"/>
      <c r="D10" s="157"/>
      <c r="E10" s="80" t="str">
        <f t="shared" si="3"/>
        <v/>
      </c>
      <c r="F10" s="158"/>
      <c r="G10" s="82"/>
      <c r="H10" s="82"/>
      <c r="I10" s="166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10" t="str">
        <f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/>
      </c>
      <c r="U10" s="111" t="e">
        <f>AVERAGE(FEMMINE[[#This Row],[data1]:[data13]])</f>
        <v>#DIV/0!</v>
      </c>
      <c r="V10" s="112"/>
      <c r="W10" s="113"/>
      <c r="X10" s="114" t="str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/>
      </c>
      <c r="Y10" s="145" t="str">
        <f t="shared" si="4"/>
        <v/>
      </c>
      <c r="Z10" s="68"/>
    </row>
    <row r="11" spans="1:31" ht="25.5" customHeight="1">
      <c r="A11" s="159">
        <f t="shared" si="2"/>
        <v>3</v>
      </c>
      <c r="B11" s="160" t="s">
        <v>45</v>
      </c>
      <c r="C11" s="161"/>
      <c r="D11" s="161"/>
      <c r="E11" s="162" t="str">
        <f t="shared" si="3"/>
        <v/>
      </c>
      <c r="F11" s="163"/>
      <c r="G11" s="164"/>
      <c r="H11" s="165"/>
      <c r="I11" s="165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9" t="str">
        <f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/>
      </c>
      <c r="U11" s="170" t="e">
        <f>AVERAGE(FEMMINE[[#This Row],[data1]:[data13]])</f>
        <v>#DIV/0!</v>
      </c>
      <c r="V11" s="171"/>
      <c r="W11" s="172"/>
      <c r="X11" s="173" t="str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/>
      </c>
      <c r="Y11" s="174" t="str">
        <f t="shared" si="4"/>
        <v/>
      </c>
      <c r="Z11" s="68"/>
    </row>
    <row r="12" spans="1:31" ht="25.5" customHeight="1">
      <c r="Z12" s="68"/>
    </row>
    <row r="19" spans="1:6" ht="25.5" customHeight="1">
      <c r="A19" s="83"/>
      <c r="B19" s="84"/>
      <c r="F19" s="85"/>
    </row>
    <row r="20" spans="1:6" ht="25.5" customHeight="1">
      <c r="A20" s="83"/>
      <c r="B20" s="84"/>
      <c r="F20" s="85"/>
    </row>
    <row r="21" spans="1:6" ht="25.5" customHeight="1">
      <c r="A21" s="83"/>
      <c r="B21" s="84"/>
    </row>
    <row r="22" spans="1:6" ht="25.5" customHeight="1">
      <c r="A22" s="83"/>
      <c r="B22" s="84"/>
    </row>
    <row r="23" spans="1:6" ht="25.5" customHeight="1">
      <c r="A23" s="83"/>
      <c r="B23" s="84"/>
    </row>
    <row r="24" spans="1:6" ht="25.5" customHeight="1">
      <c r="A24" s="83"/>
      <c r="B24" s="84"/>
    </row>
    <row r="25" spans="1:6" ht="25.5" customHeight="1">
      <c r="A25" s="83"/>
      <c r="B25" s="84"/>
    </row>
    <row r="26" spans="1:6" ht="25.5" customHeight="1">
      <c r="A26" s="83"/>
      <c r="B26" s="84"/>
    </row>
    <row r="27" spans="1:6" ht="25.5" customHeight="1">
      <c r="A27" s="83"/>
      <c r="B27" s="84"/>
    </row>
    <row r="28" spans="1:6" ht="25.5" customHeight="1">
      <c r="A28" s="83"/>
      <c r="B28" s="84"/>
    </row>
    <row r="29" spans="1:6" ht="25.5" customHeight="1">
      <c r="A29" s="83"/>
      <c r="B29" s="84"/>
    </row>
    <row r="30" spans="1:6" ht="25.5" customHeight="1">
      <c r="A30" s="83"/>
      <c r="B30" s="84"/>
    </row>
    <row r="31" spans="1:6" ht="25.5" customHeight="1">
      <c r="A31" s="83"/>
      <c r="B31" s="84"/>
    </row>
    <row r="32" spans="1:6" ht="25.5" customHeight="1">
      <c r="A32" s="83"/>
      <c r="B32" s="84"/>
    </row>
    <row r="33" spans="1:6" ht="25.5" customHeight="1">
      <c r="A33" s="83"/>
      <c r="B33" s="84"/>
    </row>
    <row r="34" spans="1:6" ht="25.5" customHeight="1">
      <c r="A34" s="83"/>
      <c r="B34" s="84"/>
    </row>
    <row r="35" spans="1:6" ht="25.5" customHeight="1">
      <c r="A35" s="83"/>
      <c r="B35" s="84"/>
    </row>
    <row r="36" spans="1:6" ht="25.5" customHeight="1">
      <c r="A36" s="83"/>
      <c r="B36" s="84"/>
    </row>
    <row r="37" spans="1:6" ht="25.5" customHeight="1">
      <c r="A37" s="83"/>
      <c r="B37" s="84"/>
    </row>
    <row r="38" spans="1:6" ht="25.5" customHeight="1">
      <c r="A38" s="83"/>
      <c r="B38" s="84"/>
    </row>
    <row r="39" spans="1:6" ht="25.5" customHeight="1">
      <c r="A39" s="83"/>
      <c r="B39" s="84"/>
    </row>
    <row r="40" spans="1:6" ht="25.5" customHeight="1">
      <c r="A40" s="83"/>
      <c r="B40" s="84"/>
    </row>
    <row r="41" spans="1:6" ht="25.5" customHeight="1">
      <c r="A41" s="83"/>
      <c r="B41" s="84"/>
    </row>
    <row r="42" spans="1:6" ht="25.5" customHeight="1">
      <c r="A42" s="83"/>
      <c r="B42" s="84"/>
    </row>
    <row r="43" spans="1:6" ht="25.5" customHeight="1">
      <c r="A43" s="83"/>
      <c r="B43" s="84"/>
    </row>
    <row r="44" spans="1:6" ht="25.5" customHeight="1">
      <c r="A44" s="83"/>
      <c r="B44" s="84"/>
      <c r="F44" s="85"/>
    </row>
    <row r="45" spans="1:6" ht="25.5" customHeight="1">
      <c r="A45" s="83"/>
      <c r="B45" s="84"/>
      <c r="F45" s="85"/>
    </row>
    <row r="46" spans="1:6" ht="25.5" customHeight="1">
      <c r="A46" s="83"/>
      <c r="B46" s="84"/>
      <c r="F46" s="85"/>
    </row>
    <row r="47" spans="1:6" ht="25.5" customHeight="1">
      <c r="A47" s="83"/>
      <c r="B47" s="84"/>
      <c r="F47" s="85"/>
    </row>
    <row r="48" spans="1:6" ht="25.5" customHeight="1">
      <c r="A48" s="83"/>
      <c r="B48" s="84"/>
      <c r="F48" s="85"/>
    </row>
    <row r="49" spans="1:6" ht="25.5" customHeight="1">
      <c r="A49" s="83"/>
      <c r="B49" s="84"/>
      <c r="F49" s="85"/>
    </row>
    <row r="50" spans="1:6" ht="25.5" customHeight="1">
      <c r="A50" s="83"/>
      <c r="B50" s="84"/>
      <c r="F50" s="85"/>
    </row>
    <row r="51" spans="1:6" ht="25.5" customHeight="1">
      <c r="A51" s="83"/>
      <c r="B51" s="84"/>
      <c r="F51" s="85"/>
    </row>
    <row r="52" spans="1:6" ht="25.5" customHeight="1">
      <c r="A52" s="83"/>
      <c r="B52" s="84"/>
      <c r="F52" s="85"/>
    </row>
    <row r="53" spans="1:6" ht="25.5" customHeight="1">
      <c r="A53" s="83"/>
      <c r="B53" s="84"/>
      <c r="F53" s="85"/>
    </row>
    <row r="54" spans="1:6" ht="25.5" customHeight="1">
      <c r="A54" s="83"/>
      <c r="B54" s="84"/>
      <c r="F54" s="85"/>
    </row>
    <row r="55" spans="1:6" ht="25.5" customHeight="1">
      <c r="A55" s="83"/>
      <c r="B55" s="84"/>
      <c r="F55" s="85"/>
    </row>
    <row r="56" spans="1:6" ht="25.5" customHeight="1">
      <c r="A56" s="83"/>
      <c r="B56" s="84"/>
      <c r="F56" s="85"/>
    </row>
    <row r="57" spans="1:6" ht="25.5" customHeight="1">
      <c r="A57" s="83"/>
      <c r="B57" s="84"/>
      <c r="F57" s="85"/>
    </row>
    <row r="58" spans="1:6" ht="25.5" customHeight="1">
      <c r="A58" s="83"/>
      <c r="B58" s="84"/>
      <c r="F58" s="85"/>
    </row>
    <row r="59" spans="1:6" ht="25.5" customHeight="1">
      <c r="A59" s="83"/>
      <c r="B59" s="84"/>
      <c r="F59" s="85"/>
    </row>
    <row r="60" spans="1:6" ht="25.5" customHeight="1">
      <c r="A60" s="83"/>
      <c r="B60" s="84"/>
      <c r="F60" s="85"/>
    </row>
    <row r="61" spans="1:6" ht="25.5" customHeight="1">
      <c r="A61" s="83"/>
      <c r="B61" s="84"/>
      <c r="F61" s="85"/>
    </row>
    <row r="62" spans="1:6" ht="25.5" customHeight="1">
      <c r="A62" s="83"/>
      <c r="B62" s="84"/>
      <c r="F62" s="85"/>
    </row>
    <row r="63" spans="1:6" ht="25.5" customHeight="1">
      <c r="A63" s="83"/>
      <c r="B63" s="84"/>
      <c r="F63" s="85"/>
    </row>
    <row r="64" spans="1:6" ht="25.5" customHeight="1">
      <c r="A64" s="83"/>
      <c r="B64" s="84"/>
      <c r="F64" s="85"/>
    </row>
    <row r="65" spans="1:6" ht="25.5" customHeight="1">
      <c r="A65" s="83"/>
      <c r="B65" s="84"/>
      <c r="F65" s="85"/>
    </row>
    <row r="66" spans="1:6" ht="25.5" customHeight="1">
      <c r="A66" s="83"/>
      <c r="B66" s="84"/>
      <c r="F66" s="85"/>
    </row>
    <row r="67" spans="1:6" ht="25.5" customHeight="1">
      <c r="A67" s="83"/>
      <c r="B67" s="84"/>
      <c r="F67" s="85"/>
    </row>
    <row r="68" spans="1:6" ht="25.5" customHeight="1">
      <c r="A68" s="83"/>
      <c r="B68" s="84"/>
      <c r="F68" s="85"/>
    </row>
    <row r="69" spans="1:6" ht="25.5" customHeight="1">
      <c r="A69" s="83"/>
      <c r="B69" s="84"/>
      <c r="F69" s="85"/>
    </row>
    <row r="70" spans="1:6" ht="25.5" customHeight="1">
      <c r="A70" s="83"/>
      <c r="B70" s="84"/>
      <c r="F70" s="85"/>
    </row>
    <row r="71" spans="1:6" ht="25.5" customHeight="1">
      <c r="A71" s="83"/>
      <c r="B71" s="84"/>
      <c r="F71" s="85"/>
    </row>
    <row r="72" spans="1:6" ht="25.5" customHeight="1">
      <c r="A72" s="83"/>
      <c r="B72" s="84"/>
      <c r="F72" s="85"/>
    </row>
    <row r="73" spans="1:6" ht="25.5" customHeight="1">
      <c r="A73" s="83"/>
      <c r="B73" s="84"/>
      <c r="F73" s="85"/>
    </row>
    <row r="74" spans="1:6" ht="25.5" customHeight="1">
      <c r="A74" s="83"/>
      <c r="B74" s="84"/>
      <c r="F74" s="85"/>
    </row>
    <row r="75" spans="1:6" ht="25.5" customHeight="1">
      <c r="A75" s="83"/>
      <c r="B75" s="84"/>
      <c r="F75" s="85"/>
    </row>
    <row r="76" spans="1:6" ht="25.5" customHeight="1">
      <c r="A76" s="83"/>
      <c r="B76" s="84"/>
      <c r="F76" s="85"/>
    </row>
    <row r="77" spans="1:6" ht="25.5" customHeight="1">
      <c r="A77" s="83"/>
      <c r="B77" s="84"/>
      <c r="F77" s="85"/>
    </row>
    <row r="78" spans="1:6" ht="25.5" customHeight="1">
      <c r="A78" s="83"/>
      <c r="B78" s="84"/>
      <c r="F78" s="85"/>
    </row>
    <row r="79" spans="1:6" ht="25.5" customHeight="1">
      <c r="A79" s="83"/>
      <c r="B79" s="84"/>
      <c r="F79" s="85"/>
    </row>
    <row r="80" spans="1:6" ht="25.5" customHeight="1">
      <c r="A80" s="83"/>
      <c r="B80" s="84"/>
      <c r="F80" s="85"/>
    </row>
    <row r="81" spans="1:22" ht="25.5" customHeight="1">
      <c r="A81" s="83"/>
      <c r="B81" s="84"/>
      <c r="F81" s="85"/>
    </row>
    <row r="82" spans="1:22" ht="25.5" customHeight="1">
      <c r="A82" s="83"/>
      <c r="B82" s="84"/>
      <c r="F82" s="85"/>
    </row>
    <row r="83" spans="1:22" ht="25.5" customHeight="1">
      <c r="A83" s="83"/>
      <c r="B83" s="84"/>
      <c r="F83" s="85"/>
    </row>
    <row r="84" spans="1:22" ht="25.5" customHeight="1">
      <c r="A84" s="83"/>
      <c r="B84" s="84"/>
      <c r="F84" s="85"/>
    </row>
    <row r="85" spans="1:22" ht="25.5" customHeight="1">
      <c r="A85" s="83"/>
      <c r="B85" s="84"/>
      <c r="F85" s="85"/>
    </row>
    <row r="86" spans="1:22" ht="25.5" customHeight="1">
      <c r="A86" s="83"/>
      <c r="B86" s="84"/>
      <c r="F86" s="85"/>
    </row>
    <row r="87" spans="1:22" ht="25.5" customHeight="1">
      <c r="A87" s="83"/>
      <c r="B87" s="84"/>
      <c r="F87" s="85"/>
    </row>
    <row r="88" spans="1:22" ht="25.5" customHeight="1">
      <c r="A88" s="83"/>
      <c r="B88" s="84"/>
      <c r="F88" s="85"/>
    </row>
    <row r="89" spans="1:22" ht="25.5" customHeight="1">
      <c r="A89" s="83"/>
      <c r="F89" s="86"/>
      <c r="G89" s="23"/>
      <c r="H89" s="23"/>
      <c r="I89" s="23"/>
      <c r="J89" s="23"/>
      <c r="K89" s="102"/>
      <c r="L89" s="102"/>
      <c r="M89" s="102"/>
      <c r="N89" s="102"/>
      <c r="O89" s="102"/>
      <c r="P89" s="102"/>
      <c r="Q89" s="102"/>
      <c r="R89" s="102"/>
      <c r="S89" s="23"/>
      <c r="T89" s="115"/>
    </row>
    <row r="90" spans="1:22" ht="25.5" customHeight="1">
      <c r="A90" s="83"/>
      <c r="F90" s="86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V90" s="87"/>
    </row>
    <row r="91" spans="1:22" ht="25.5" customHeight="1">
      <c r="A91" s="83"/>
      <c r="F91" s="86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V91" s="87"/>
    </row>
    <row r="92" spans="1:22" ht="25.5" customHeight="1">
      <c r="A92" s="83"/>
      <c r="F92" s="86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115"/>
      <c r="V92" s="102"/>
    </row>
    <row r="93" spans="1:22" ht="25.5" customHeight="1">
      <c r="A93" s="83"/>
      <c r="V93" s="23"/>
    </row>
    <row r="94" spans="1:22" ht="25.5" customHeight="1">
      <c r="A94" s="83"/>
    </row>
    <row r="95" spans="1:22" ht="25.5" customHeight="1">
      <c r="A95" s="83"/>
      <c r="B95" s="88"/>
      <c r="C95" s="90"/>
      <c r="D95" s="90"/>
      <c r="E95" s="89"/>
      <c r="F95" s="90"/>
    </row>
    <row r="96" spans="1:22" ht="25.5" customHeight="1">
      <c r="A96" s="83"/>
      <c r="B96" s="91"/>
      <c r="C96" s="92"/>
      <c r="D96" s="92"/>
      <c r="E96" s="93"/>
      <c r="F96" s="94"/>
    </row>
    <row r="97" spans="1:6" ht="25.5" customHeight="1">
      <c r="A97" s="83"/>
      <c r="B97" s="101"/>
      <c r="C97" s="96"/>
      <c r="D97" s="96"/>
      <c r="E97" s="97"/>
      <c r="F97" s="98"/>
    </row>
    <row r="98" spans="1:6" ht="25.5" customHeight="1">
      <c r="A98" s="83"/>
    </row>
    <row r="99" spans="1:6" ht="25.5" customHeight="1">
      <c r="A99" s="83"/>
    </row>
    <row r="100" spans="1:6" ht="25.5" customHeight="1">
      <c r="A100" s="83"/>
    </row>
    <row r="101" spans="1:6" ht="25.5" customHeight="1">
      <c r="A101" s="83"/>
    </row>
    <row r="102" spans="1:6" ht="25.5" customHeight="1">
      <c r="A102" s="99"/>
      <c r="B102" s="101"/>
      <c r="E102" s="100"/>
      <c r="F102" s="101"/>
    </row>
    <row r="103" spans="1:6" ht="25.5" customHeight="1">
      <c r="A103" s="99"/>
      <c r="B103" s="101"/>
      <c r="E103" s="100"/>
      <c r="F103" s="101"/>
    </row>
    <row r="104" spans="1:6" ht="25.5" customHeight="1">
      <c r="A104" s="99"/>
      <c r="B104" s="101"/>
      <c r="E104" s="100"/>
      <c r="F104" s="101"/>
    </row>
    <row r="105" spans="1:6" ht="25.5" customHeight="1">
      <c r="A105" s="99"/>
      <c r="B105" s="101"/>
      <c r="E105" s="100"/>
      <c r="F105" s="101"/>
    </row>
    <row r="106" spans="1:6" ht="25.5" customHeight="1">
      <c r="A106" s="99"/>
      <c r="B106" s="101"/>
      <c r="E106" s="100"/>
      <c r="F106" s="101"/>
    </row>
    <row r="107" spans="1:6" ht="25.5" customHeight="1">
      <c r="A107" s="99"/>
      <c r="B107" s="101"/>
      <c r="E107" s="100"/>
      <c r="F107" s="101"/>
    </row>
    <row r="108" spans="1:6" ht="25.5" customHeight="1">
      <c r="A108" s="99"/>
      <c r="B108" s="101"/>
      <c r="E108" s="100"/>
      <c r="F108" s="101"/>
    </row>
    <row r="109" spans="1:6" ht="25.5" customHeight="1">
      <c r="A109" s="99"/>
      <c r="B109" s="101"/>
      <c r="E109" s="100"/>
      <c r="F109" s="101"/>
    </row>
    <row r="110" spans="1:6" ht="25.5" customHeight="1">
      <c r="A110" s="99"/>
      <c r="B110" s="101"/>
      <c r="E110" s="100"/>
      <c r="F110" s="101"/>
    </row>
    <row r="111" spans="1:6" ht="25.5" customHeight="1">
      <c r="A111" s="99"/>
      <c r="B111" s="101"/>
      <c r="E111" s="100"/>
      <c r="F111" s="101"/>
    </row>
    <row r="112" spans="1:6" ht="25.5" customHeight="1">
      <c r="A112" s="99"/>
      <c r="B112" s="101"/>
      <c r="E112" s="100"/>
      <c r="F112" s="101"/>
    </row>
    <row r="113" spans="1:6" ht="25.5" customHeight="1">
      <c r="A113" s="99"/>
      <c r="B113" s="101"/>
      <c r="E113" s="100"/>
      <c r="F113" s="101"/>
    </row>
    <row r="114" spans="1:6" ht="25.5" customHeight="1">
      <c r="A114" s="99"/>
      <c r="B114" s="101"/>
      <c r="E114" s="100"/>
      <c r="F114" s="101"/>
    </row>
    <row r="115" spans="1:6" ht="25.5" customHeight="1">
      <c r="A115" s="99"/>
      <c r="B115" s="101"/>
      <c r="E115" s="100"/>
      <c r="F115" s="101"/>
    </row>
    <row r="116" spans="1:6" ht="25.5" customHeight="1">
      <c r="A116" s="99"/>
      <c r="B116" s="101"/>
      <c r="E116" s="100"/>
      <c r="F116" s="101"/>
    </row>
    <row r="117" spans="1:6" ht="25.5" customHeight="1">
      <c r="A117" s="99"/>
      <c r="B117" s="101"/>
      <c r="E117" s="100"/>
      <c r="F117" s="101"/>
    </row>
    <row r="118" spans="1:6" ht="25.5" customHeight="1">
      <c r="A118" s="99"/>
      <c r="B118" s="101"/>
      <c r="E118" s="100"/>
      <c r="F118" s="101"/>
    </row>
    <row r="119" spans="1:6" ht="25.5" customHeight="1">
      <c r="A119" s="99"/>
      <c r="B119" s="101"/>
      <c r="E119" s="100"/>
      <c r="F119" s="101"/>
    </row>
    <row r="120" spans="1:6" ht="25.5" customHeight="1">
      <c r="A120" s="99"/>
      <c r="B120" s="101"/>
      <c r="E120" s="100"/>
      <c r="F120" s="101"/>
    </row>
    <row r="121" spans="1:6" ht="25.5" customHeight="1">
      <c r="A121" s="99"/>
      <c r="B121" s="101"/>
      <c r="E121" s="100"/>
      <c r="F121" s="101"/>
    </row>
    <row r="122" spans="1:6" ht="25.5" customHeight="1">
      <c r="A122" s="99"/>
      <c r="B122" s="101"/>
      <c r="E122" s="100"/>
      <c r="F122" s="101"/>
    </row>
    <row r="123" spans="1:6" ht="25.5" customHeight="1">
      <c r="A123" s="99"/>
      <c r="B123" s="101"/>
      <c r="E123" s="100"/>
      <c r="F123" s="101"/>
    </row>
    <row r="124" spans="1:6" ht="25.5" customHeight="1">
      <c r="A124" s="99"/>
      <c r="B124" s="101"/>
      <c r="E124" s="100"/>
      <c r="F124" s="101"/>
    </row>
    <row r="125" spans="1:6" ht="25.5" customHeight="1">
      <c r="A125" s="99"/>
      <c r="B125" s="101"/>
      <c r="E125" s="100"/>
      <c r="F125" s="101"/>
    </row>
    <row r="126" spans="1:6" ht="25.5" customHeight="1">
      <c r="A126" s="99"/>
      <c r="B126" s="101"/>
      <c r="E126" s="100"/>
      <c r="F126" s="101"/>
    </row>
    <row r="127" spans="1:6" ht="25.5" customHeight="1">
      <c r="A127" s="99"/>
      <c r="B127" s="101"/>
      <c r="E127" s="100"/>
      <c r="F127" s="101"/>
    </row>
    <row r="128" spans="1:6" ht="25.5" customHeight="1">
      <c r="A128" s="99"/>
      <c r="B128" s="101"/>
      <c r="E128" s="100"/>
      <c r="F128" s="101"/>
    </row>
    <row r="129" spans="1:6" ht="25.5" customHeight="1">
      <c r="A129" s="99"/>
      <c r="B129" s="101"/>
      <c r="E129" s="100"/>
      <c r="F129" s="101"/>
    </row>
    <row r="130" spans="1:6" ht="25.5" customHeight="1">
      <c r="A130" s="99"/>
      <c r="B130" s="101"/>
      <c r="E130" s="100"/>
      <c r="F130" s="101"/>
    </row>
    <row r="131" spans="1:6" ht="25.5" customHeight="1">
      <c r="A131" s="99"/>
      <c r="B131" s="101"/>
      <c r="E131" s="100"/>
      <c r="F131" s="101"/>
    </row>
    <row r="132" spans="1:6" ht="25.5" customHeight="1">
      <c r="A132" s="99"/>
      <c r="B132" s="101"/>
      <c r="E132" s="100"/>
      <c r="F132" s="101"/>
    </row>
    <row r="133" spans="1:6" ht="25.5" customHeight="1">
      <c r="A133" s="99"/>
      <c r="B133" s="101"/>
      <c r="E133" s="100"/>
      <c r="F133" s="101"/>
    </row>
    <row r="134" spans="1:6" ht="25.5" customHeight="1">
      <c r="A134" s="99"/>
      <c r="B134" s="101"/>
      <c r="E134" s="100"/>
      <c r="F134" s="101"/>
    </row>
    <row r="135" spans="1:6" ht="25.5" customHeight="1">
      <c r="A135" s="99"/>
      <c r="B135" s="101"/>
      <c r="E135" s="100"/>
      <c r="F135" s="101"/>
    </row>
    <row r="136" spans="1:6" ht="25.5" customHeight="1">
      <c r="A136" s="99"/>
      <c r="B136" s="101"/>
      <c r="E136" s="100"/>
      <c r="F136" s="101"/>
    </row>
    <row r="137" spans="1:6" ht="25.5" customHeight="1">
      <c r="A137" s="99"/>
      <c r="B137" s="101"/>
      <c r="E137" s="100"/>
      <c r="F137" s="101"/>
    </row>
    <row r="138" spans="1:6" ht="25.5" customHeight="1">
      <c r="A138" s="99"/>
      <c r="B138" s="101"/>
      <c r="E138" s="100"/>
      <c r="F138" s="101"/>
    </row>
    <row r="139" spans="1:6" ht="25.5" customHeight="1">
      <c r="A139" s="99"/>
      <c r="B139" s="101"/>
      <c r="E139" s="100"/>
      <c r="F139" s="101"/>
    </row>
    <row r="140" spans="1:6" ht="25.5" customHeight="1">
      <c r="A140" s="99"/>
      <c r="B140" s="101"/>
      <c r="E140" s="100"/>
      <c r="F140" s="101"/>
    </row>
    <row r="141" spans="1:6" ht="25.5" customHeight="1">
      <c r="A141" s="99"/>
      <c r="B141" s="101"/>
      <c r="E141" s="100"/>
      <c r="F141" s="101"/>
    </row>
    <row r="142" spans="1:6" ht="25.5" customHeight="1">
      <c r="A142" s="99"/>
      <c r="B142" s="101"/>
      <c r="E142" s="100"/>
      <c r="F142" s="101"/>
    </row>
    <row r="143" spans="1:6" ht="25.5" customHeight="1">
      <c r="A143" s="99"/>
      <c r="B143" s="101"/>
      <c r="E143" s="100"/>
      <c r="F143" s="101"/>
    </row>
    <row r="144" spans="1:6" ht="25.5" customHeight="1">
      <c r="A144" s="99"/>
      <c r="B144" s="101"/>
      <c r="E144" s="100"/>
      <c r="F144" s="101"/>
    </row>
    <row r="145" spans="1:6" ht="25.5" customHeight="1">
      <c r="A145" s="99"/>
      <c r="B145" s="101"/>
      <c r="E145" s="100"/>
      <c r="F145" s="101"/>
    </row>
    <row r="146" spans="1:6" ht="25.5" customHeight="1">
      <c r="A146" s="99"/>
      <c r="B146" s="101"/>
      <c r="E146" s="100"/>
      <c r="F146" s="101"/>
    </row>
    <row r="147" spans="1:6" ht="25.5" customHeight="1">
      <c r="A147" s="99"/>
      <c r="B147" s="101"/>
      <c r="E147" s="100"/>
      <c r="F147" s="101"/>
    </row>
    <row r="148" spans="1:6" ht="25.5" customHeight="1">
      <c r="A148" s="99"/>
      <c r="B148" s="101"/>
      <c r="E148" s="100"/>
      <c r="F148" s="101"/>
    </row>
    <row r="149" spans="1:6" ht="25.5" customHeight="1">
      <c r="A149" s="99"/>
      <c r="B149" s="101"/>
      <c r="E149" s="100"/>
      <c r="F149" s="101"/>
    </row>
    <row r="150" spans="1:6" ht="25.5" customHeight="1">
      <c r="A150" s="99"/>
      <c r="B150" s="101"/>
      <c r="E150" s="100"/>
      <c r="F150" s="101"/>
    </row>
    <row r="151" spans="1:6" ht="25.5" customHeight="1">
      <c r="A151" s="99"/>
      <c r="B151" s="101"/>
      <c r="E151" s="100"/>
      <c r="F151" s="101"/>
    </row>
    <row r="152" spans="1:6" ht="25.5" customHeight="1">
      <c r="A152" s="99"/>
      <c r="B152" s="101"/>
      <c r="E152" s="100"/>
      <c r="F152" s="101"/>
    </row>
    <row r="153" spans="1:6" ht="25.5" customHeight="1">
      <c r="A153" s="99"/>
      <c r="B153" s="101"/>
      <c r="E153" s="100"/>
      <c r="F153" s="101"/>
    </row>
    <row r="154" spans="1:6" ht="25.5" customHeight="1">
      <c r="A154" s="99"/>
      <c r="B154" s="101"/>
      <c r="E154" s="100"/>
      <c r="F154" s="101"/>
    </row>
    <row r="155" spans="1:6" ht="25.5" customHeight="1">
      <c r="A155" s="99"/>
      <c r="B155" s="101"/>
      <c r="E155" s="100"/>
      <c r="F155" s="101"/>
    </row>
    <row r="156" spans="1:6" ht="25.5" customHeight="1">
      <c r="A156" s="99"/>
      <c r="B156" s="101"/>
      <c r="E156" s="100"/>
      <c r="F156" s="101"/>
    </row>
    <row r="157" spans="1:6" ht="25.5" customHeight="1">
      <c r="A157" s="99"/>
      <c r="B157" s="101"/>
      <c r="E157" s="100"/>
      <c r="F157" s="101"/>
    </row>
    <row r="158" spans="1:6" ht="25.5" customHeight="1">
      <c r="A158" s="99"/>
      <c r="B158" s="101"/>
      <c r="E158" s="100"/>
      <c r="F158" s="101"/>
    </row>
    <row r="159" spans="1:6" ht="25.5" customHeight="1">
      <c r="B159" s="116"/>
      <c r="C159" s="100"/>
      <c r="D159" s="100"/>
      <c r="E159" s="100"/>
      <c r="F159" s="85"/>
    </row>
    <row r="160" spans="1:6" ht="25.5" customHeight="1">
      <c r="B160" s="116"/>
      <c r="C160" s="100"/>
      <c r="D160" s="100"/>
      <c r="E160" s="100"/>
      <c r="F160" s="85"/>
    </row>
    <row r="161" spans="2:6" ht="25.5" customHeight="1">
      <c r="B161" s="117"/>
      <c r="C161" s="100"/>
      <c r="D161" s="100"/>
      <c r="E161" s="100"/>
      <c r="F161" s="85"/>
    </row>
    <row r="162" spans="2:6" ht="25.5" customHeight="1">
      <c r="B162" s="116"/>
      <c r="C162" s="100"/>
      <c r="D162" s="100"/>
      <c r="E162" s="100"/>
      <c r="F162" s="85"/>
    </row>
    <row r="163" spans="2:6" ht="25.5" customHeight="1">
      <c r="B163" s="116"/>
      <c r="C163" s="100"/>
      <c r="D163" s="100"/>
      <c r="E163" s="100"/>
      <c r="F163" s="85"/>
    </row>
    <row r="164" spans="2:6" ht="25.5" customHeight="1">
      <c r="B164" s="117"/>
      <c r="C164" s="100"/>
      <c r="D164" s="100"/>
      <c r="E164" s="100"/>
      <c r="F164" s="85"/>
    </row>
    <row r="165" spans="2:6" ht="25.5" customHeight="1">
      <c r="B165" s="116"/>
      <c r="C165" s="100"/>
      <c r="D165" s="100"/>
      <c r="E165" s="100"/>
      <c r="F165" s="85"/>
    </row>
    <row r="166" spans="2:6" ht="25.5" customHeight="1">
      <c r="B166" s="116"/>
      <c r="C166" s="100"/>
      <c r="D166" s="100"/>
      <c r="E166" s="100"/>
      <c r="F166" s="85"/>
    </row>
    <row r="167" spans="2:6" ht="25.5" customHeight="1">
      <c r="B167" s="116"/>
      <c r="C167" s="100"/>
      <c r="D167" s="100"/>
      <c r="E167" s="100"/>
      <c r="F167" s="85"/>
    </row>
    <row r="168" spans="2:6" ht="25.5" customHeight="1">
      <c r="B168" s="116"/>
      <c r="C168" s="100"/>
      <c r="D168" s="100"/>
      <c r="E168" s="100"/>
      <c r="F168" s="85"/>
    </row>
    <row r="169" spans="2:6" ht="25.5" customHeight="1">
      <c r="B169" s="116"/>
      <c r="C169" s="100"/>
      <c r="D169" s="100"/>
      <c r="E169" s="100"/>
      <c r="F169" s="85"/>
    </row>
  </sheetData>
  <mergeCells count="8">
    <mergeCell ref="A1:Y1"/>
    <mergeCell ref="B3:E3"/>
    <mergeCell ref="T6:T7"/>
    <mergeCell ref="V6:V7"/>
    <mergeCell ref="X6:X7"/>
    <mergeCell ref="Y6:Y7"/>
    <mergeCell ref="A4:E6"/>
    <mergeCell ref="G4:Y5"/>
  </mergeCells>
  <conditionalFormatting sqref="G9:S11">
    <cfRule type="containsBlanks" dxfId="93" priority="1">
      <formula>LEN(TRIM(G9))=0</formula>
    </cfRule>
  </conditionalFormatting>
  <dataValidations count="1">
    <dataValidation type="list" allowBlank="1" showInputMessage="1" showErrorMessage="1" sqref="D9:D11">
      <formula1>CATEGORIA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zoomScale="110" zoomScaleNormal="110" workbookViewId="0">
      <selection activeCell="G6" sqref="G6"/>
    </sheetView>
  </sheetViews>
  <sheetFormatPr defaultColWidth="9.140625" defaultRowHeight="15"/>
  <cols>
    <col min="1" max="16384" width="9.140625" style="146"/>
  </cols>
  <sheetData>
    <row r="1" spans="2:11">
      <c r="F1" s="146" t="s">
        <v>50</v>
      </c>
    </row>
    <row r="2" spans="2:11" ht="15.75">
      <c r="B2" s="146" t="s">
        <v>51</v>
      </c>
      <c r="F2" s="147" t="s">
        <v>52</v>
      </c>
      <c r="G2" s="148" t="s">
        <v>53</v>
      </c>
    </row>
    <row r="3" spans="2:11" ht="15.75">
      <c r="C3" s="146" t="str">
        <f>""</f>
        <v/>
      </c>
      <c r="F3" s="147" t="e">
        <v>#N/A</v>
      </c>
      <c r="G3" s="148">
        <v>0</v>
      </c>
      <c r="I3" s="146">
        <v>1</v>
      </c>
      <c r="K3" s="146">
        <f>LOOKUP(I3,Tabella4[1],Tabella4[100])+LOOKUP(I4,Tabella4[1],Tabella4[100])</f>
        <v>195</v>
      </c>
    </row>
    <row r="4" spans="2:11" ht="15.75">
      <c r="C4" s="146" t="s">
        <v>48</v>
      </c>
      <c r="F4" s="147">
        <v>1</v>
      </c>
      <c r="G4" s="148">
        <v>115</v>
      </c>
      <c r="I4" s="146">
        <v>4</v>
      </c>
    </row>
    <row r="5" spans="2:11" ht="15.75">
      <c r="C5" s="146" t="s">
        <v>54</v>
      </c>
      <c r="F5" s="149">
        <v>2</v>
      </c>
      <c r="G5" s="150">
        <v>95</v>
      </c>
    </row>
    <row r="6" spans="2:11" ht="15.75">
      <c r="C6" s="146" t="s">
        <v>55</v>
      </c>
      <c r="F6" s="151">
        <v>3</v>
      </c>
      <c r="G6" s="152">
        <v>85</v>
      </c>
    </row>
    <row r="7" spans="2:11" ht="15.75">
      <c r="F7" s="149">
        <v>4</v>
      </c>
      <c r="G7" s="150">
        <v>80</v>
      </c>
    </row>
    <row r="8" spans="2:11" ht="15.75">
      <c r="F8" s="151">
        <v>5</v>
      </c>
      <c r="G8" s="152">
        <v>75</v>
      </c>
    </row>
    <row r="9" spans="2:11" ht="15.75">
      <c r="F9" s="149">
        <v>6</v>
      </c>
      <c r="G9" s="150">
        <v>70</v>
      </c>
    </row>
    <row r="10" spans="2:11" ht="15.75">
      <c r="F10" s="151">
        <v>7</v>
      </c>
      <c r="G10" s="152">
        <v>67</v>
      </c>
    </row>
    <row r="11" spans="2:11" ht="15.75">
      <c r="F11" s="149">
        <v>8</v>
      </c>
      <c r="G11" s="150">
        <v>64</v>
      </c>
    </row>
    <row r="12" spans="2:11" ht="15.75">
      <c r="F12" s="151">
        <v>9</v>
      </c>
      <c r="G12" s="152">
        <v>61</v>
      </c>
    </row>
    <row r="13" spans="2:11" ht="15.75">
      <c r="F13" s="149">
        <v>10</v>
      </c>
      <c r="G13" s="150">
        <v>58</v>
      </c>
    </row>
    <row r="14" spans="2:11" ht="15.75">
      <c r="F14" s="151">
        <v>11</v>
      </c>
      <c r="G14" s="152">
        <v>55</v>
      </c>
    </row>
    <row r="15" spans="2:11" ht="15.75">
      <c r="F15" s="149">
        <v>12</v>
      </c>
      <c r="G15" s="150">
        <v>52</v>
      </c>
    </row>
    <row r="16" spans="2:11" ht="15.75">
      <c r="F16" s="151">
        <v>13</v>
      </c>
      <c r="G16" s="152">
        <v>49</v>
      </c>
    </row>
    <row r="17" spans="6:7" ht="15.75">
      <c r="F17" s="149">
        <v>14</v>
      </c>
      <c r="G17" s="150">
        <v>47</v>
      </c>
    </row>
    <row r="18" spans="6:7" ht="15.75">
      <c r="F18" s="151">
        <v>15</v>
      </c>
      <c r="G18" s="152">
        <v>45</v>
      </c>
    </row>
    <row r="19" spans="6:7" ht="15.75">
      <c r="F19" s="149">
        <v>16</v>
      </c>
      <c r="G19" s="150">
        <v>43</v>
      </c>
    </row>
    <row r="20" spans="6:7" ht="15.75">
      <c r="F20" s="151">
        <v>17</v>
      </c>
      <c r="G20" s="152">
        <v>41</v>
      </c>
    </row>
    <row r="21" spans="6:7" ht="15.75">
      <c r="F21" s="149">
        <v>18</v>
      </c>
      <c r="G21" s="150">
        <v>39</v>
      </c>
    </row>
    <row r="22" spans="6:7" ht="15.75">
      <c r="F22" s="151">
        <v>19</v>
      </c>
      <c r="G22" s="152">
        <v>37</v>
      </c>
    </row>
    <row r="23" spans="6:7" ht="15.75">
      <c r="F23" s="149">
        <v>20</v>
      </c>
      <c r="G23" s="150">
        <v>35</v>
      </c>
    </row>
    <row r="24" spans="6:7" ht="15.75">
      <c r="F24" s="151">
        <v>21</v>
      </c>
      <c r="G24" s="152">
        <v>33</v>
      </c>
    </row>
    <row r="25" spans="6:7" ht="15.75">
      <c r="F25" s="149">
        <v>22</v>
      </c>
      <c r="G25" s="150">
        <v>31</v>
      </c>
    </row>
    <row r="26" spans="6:7" ht="15.75">
      <c r="F26" s="151">
        <v>23</v>
      </c>
      <c r="G26" s="152">
        <v>29</v>
      </c>
    </row>
    <row r="27" spans="6:7" ht="15.75">
      <c r="F27" s="149">
        <v>24</v>
      </c>
      <c r="G27" s="150">
        <v>27</v>
      </c>
    </row>
    <row r="28" spans="6:7" ht="15.75">
      <c r="F28" s="151">
        <v>25</v>
      </c>
      <c r="G28" s="152">
        <v>25</v>
      </c>
    </row>
    <row r="29" spans="6:7" ht="15.75">
      <c r="F29" s="149">
        <v>26</v>
      </c>
      <c r="G29" s="150">
        <v>23</v>
      </c>
    </row>
    <row r="30" spans="6:7" ht="15.75">
      <c r="F30" s="151">
        <v>27</v>
      </c>
      <c r="G30" s="152">
        <v>21</v>
      </c>
    </row>
    <row r="31" spans="6:7" ht="15.75">
      <c r="F31" s="149">
        <v>28</v>
      </c>
      <c r="G31" s="150">
        <v>19</v>
      </c>
    </row>
    <row r="32" spans="6:7" ht="15.75">
      <c r="F32" s="151">
        <v>29</v>
      </c>
      <c r="G32" s="152">
        <v>17</v>
      </c>
    </row>
    <row r="33" spans="6:7" ht="15.75">
      <c r="F33" s="149">
        <v>30</v>
      </c>
      <c r="G33" s="150">
        <v>15</v>
      </c>
    </row>
    <row r="34" spans="6:7" ht="15.75">
      <c r="F34" s="151">
        <v>31</v>
      </c>
      <c r="G34" s="152">
        <v>13</v>
      </c>
    </row>
    <row r="35" spans="6:7" ht="15.75">
      <c r="F35" s="149">
        <v>32</v>
      </c>
      <c r="G35" s="150">
        <v>12</v>
      </c>
    </row>
    <row r="36" spans="6:7" ht="15.75">
      <c r="F36" s="151">
        <v>33</v>
      </c>
      <c r="G36" s="152">
        <v>11</v>
      </c>
    </row>
    <row r="37" spans="6:7" ht="15.75">
      <c r="F37" s="149">
        <v>34</v>
      </c>
      <c r="G37" s="150">
        <v>10</v>
      </c>
    </row>
    <row r="38" spans="6:7" ht="15.75">
      <c r="F38" s="151">
        <v>35</v>
      </c>
      <c r="G38" s="152">
        <v>9</v>
      </c>
    </row>
    <row r="39" spans="6:7" ht="15.75">
      <c r="F39" s="149">
        <v>36</v>
      </c>
      <c r="G39" s="150">
        <v>8</v>
      </c>
    </row>
    <row r="40" spans="6:7" ht="15.75">
      <c r="F40" s="151">
        <v>37</v>
      </c>
      <c r="G40" s="152">
        <v>7</v>
      </c>
    </row>
    <row r="41" spans="6:7" ht="15.75">
      <c r="F41" s="149">
        <v>38</v>
      </c>
      <c r="G41" s="150">
        <v>6</v>
      </c>
    </row>
    <row r="42" spans="6:7" ht="15.75">
      <c r="F42" s="151">
        <v>39</v>
      </c>
      <c r="G42" s="152">
        <v>5</v>
      </c>
    </row>
    <row r="43" spans="6:7" ht="15.75">
      <c r="F43" s="153">
        <v>40</v>
      </c>
      <c r="G43" s="150">
        <v>4</v>
      </c>
    </row>
    <row r="44" spans="6:7" ht="15.75">
      <c r="F44" s="146" t="s">
        <v>56</v>
      </c>
      <c r="G44" s="154">
        <v>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7"/>
  <sheetViews>
    <sheetView topLeftCell="A5" zoomScale="67" zoomScaleNormal="67" zoomScaleSheetLayoutView="40" workbookViewId="0">
      <selection activeCell="V11" sqref="V11"/>
    </sheetView>
  </sheetViews>
  <sheetFormatPr defaultColWidth="9.140625" defaultRowHeight="25.5" customHeight="1"/>
  <cols>
    <col min="1" max="1" width="10.42578125" style="66" customWidth="1"/>
    <col min="2" max="2" width="36.42578125" style="67" customWidth="1"/>
    <col min="3" max="3" width="17.7109375" style="67" customWidth="1"/>
    <col min="4" max="4" width="15" style="67" customWidth="1"/>
    <col min="5" max="5" width="12.42578125" style="67" customWidth="1"/>
    <col min="6" max="6" width="21.42578125" style="24" customWidth="1"/>
    <col min="7" max="7" width="12.7109375" style="66" customWidth="1"/>
    <col min="8" max="8" width="17.5703125" style="66" customWidth="1"/>
    <col min="9" max="9" width="15" style="24" customWidth="1"/>
    <col min="10" max="10" width="14.140625" style="66" customWidth="1"/>
    <col min="11" max="11" width="13.85546875" style="66" customWidth="1"/>
    <col min="12" max="12" width="12.7109375" style="66" customWidth="1"/>
    <col min="13" max="13" width="12.28515625" style="66" customWidth="1"/>
    <col min="14" max="14" width="19.28515625" style="66" customWidth="1"/>
    <col min="15" max="15" width="18.7109375" style="66" customWidth="1"/>
    <col min="16" max="16" width="12.42578125" style="66" customWidth="1"/>
    <col min="17" max="17" width="12.28515625" style="66" customWidth="1"/>
    <col min="18" max="18" width="11.42578125" style="66" customWidth="1"/>
    <col min="19" max="19" width="12.7109375" style="66" customWidth="1"/>
    <col min="20" max="20" width="11" style="66" customWidth="1"/>
    <col min="21" max="21" width="12.5703125" style="66" customWidth="1"/>
    <col min="22" max="22" width="11.28515625" style="66" customWidth="1"/>
    <col min="23" max="24" width="12.28515625" style="66" customWidth="1"/>
    <col min="25" max="25" width="15" style="66" customWidth="1"/>
    <col min="26" max="26" width="4" style="66" customWidth="1"/>
    <col min="27" max="27" width="15.5703125" style="66" customWidth="1"/>
    <col min="28" max="28" width="4" style="66" customWidth="1"/>
    <col min="29" max="30" width="15" style="66" customWidth="1"/>
    <col min="31" max="31" width="9.140625" style="66"/>
    <col min="32" max="71" width="9.140625" style="118"/>
    <col min="72" max="16384" width="9.140625" style="66"/>
  </cols>
  <sheetData>
    <row r="1" spans="1:71" ht="72.95" customHeight="1">
      <c r="A1" s="248" t="s">
        <v>57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50"/>
    </row>
    <row r="2" spans="1:71" ht="25.5" customHeight="1">
      <c r="A2" s="119"/>
      <c r="B2" s="120"/>
      <c r="C2" s="120"/>
      <c r="D2" s="120"/>
      <c r="E2" s="120"/>
      <c r="F2" s="121"/>
      <c r="G2" s="122">
        <f>IF(COUNTA(MASCHI4[18-feb])=0,0,COUNTA(MASCHI4[18-feb]))</f>
        <v>11</v>
      </c>
      <c r="H2" s="122">
        <f>IF(COUNTA(MASCHI4[29-mar])=0,0,COUNTA(MASCHI4[29-mar]))</f>
        <v>14</v>
      </c>
      <c r="I2" s="138">
        <f>IF(COUNTA(MASCHI4[6/7 apr])=0,0,COUNTA(MASCHI4[6/7 apr]))</f>
        <v>7</v>
      </c>
      <c r="J2" s="122">
        <f>IF(COUNTA(MASCHI4[11-giu])=0,0,COUNTA(MASCHI4[11-giu]))</f>
        <v>14</v>
      </c>
      <c r="K2" s="122">
        <f>IF(COUNTA(MASCHI4[22/23-giu])=0,0,COUNTA(MASCHI4[22/23-giu]))</f>
        <v>14</v>
      </c>
      <c r="L2" s="122">
        <f>IF(COUNTA(MASCHI4[23-lug])=0,0,COUNTA(MASCHI4[23-lug]))</f>
        <v>12</v>
      </c>
      <c r="M2" s="122">
        <f>IF(COUNTA(MASCHI4[31-lug])=0,0,COUNTA(MASCHI4[31-lug]))</f>
        <v>12</v>
      </c>
      <c r="N2" s="122">
        <f>IF(COUNTA(MASCHI4[31-ago/01-sett])=0,0,COUNTA(MASCHI4[31-ago/01-sett]))</f>
        <v>12</v>
      </c>
      <c r="O2" s="122">
        <f>IF(COUNTA(MASCHI4[10-set])=0,0,COUNTA(MASCHI4[10-set]))</f>
        <v>13</v>
      </c>
      <c r="P2" s="122">
        <f>IF(COUNTA(MASCHI4[Data 10])=0,0,COUNTA(MASCHI4[Data 10]))</f>
        <v>0</v>
      </c>
      <c r="Q2" s="122">
        <f>IF(COUNTA(MASCHI4[Data 11])=0,0,COUNTA(MASCHI4[Data 11]))</f>
        <v>0</v>
      </c>
      <c r="R2" s="122">
        <f>IF(COUNTA(MASCHI4[Data 12])=0,0,COUNTA(MASCHI4[Data 12]))</f>
        <v>0</v>
      </c>
      <c r="S2" s="122"/>
      <c r="T2" s="122"/>
      <c r="U2" s="122"/>
      <c r="V2" s="122"/>
      <c r="W2" s="122"/>
      <c r="X2" s="122">
        <f>IF(COUNTA(MASCHI4[Data 18])=0,0,COUNTA(MASCHI4[Data 18]))</f>
        <v>0</v>
      </c>
      <c r="Y2" s="122"/>
      <c r="Z2" s="122"/>
      <c r="AA2" s="122">
        <f>IF(COUNTA(MASCHI4[Data 18])=0,0,COUNTA(MASCHI4[Data 18]))</f>
        <v>0</v>
      </c>
      <c r="AB2" s="139"/>
      <c r="AC2" s="139"/>
      <c r="AD2" s="139"/>
    </row>
    <row r="3" spans="1:71" ht="25.5" customHeight="1">
      <c r="A3" s="119"/>
      <c r="B3" s="120"/>
      <c r="C3" s="120"/>
      <c r="D3" s="120"/>
      <c r="E3" s="120"/>
      <c r="F3" s="123"/>
      <c r="G3" s="122">
        <f>IF(G2=0,0,1)</f>
        <v>1</v>
      </c>
      <c r="H3" s="122">
        <f t="shared" ref="H3:X3" si="0">IF(H2=0,0,1)</f>
        <v>1</v>
      </c>
      <c r="I3" s="138">
        <f t="shared" si="0"/>
        <v>1</v>
      </c>
      <c r="J3" s="122">
        <f t="shared" si="0"/>
        <v>1</v>
      </c>
      <c r="K3" s="122">
        <f t="shared" si="0"/>
        <v>1</v>
      </c>
      <c r="L3" s="122">
        <f t="shared" si="0"/>
        <v>1</v>
      </c>
      <c r="M3" s="122">
        <f t="shared" si="0"/>
        <v>1</v>
      </c>
      <c r="N3" s="122">
        <f t="shared" si="0"/>
        <v>1</v>
      </c>
      <c r="O3" s="122">
        <f t="shared" si="0"/>
        <v>1</v>
      </c>
      <c r="P3" s="122">
        <f t="shared" si="0"/>
        <v>0</v>
      </c>
      <c r="Q3" s="122">
        <f t="shared" si="0"/>
        <v>0</v>
      </c>
      <c r="R3" s="122">
        <f t="shared" si="0"/>
        <v>0</v>
      </c>
      <c r="S3" s="122"/>
      <c r="T3" s="122"/>
      <c r="U3" s="122"/>
      <c r="V3" s="122"/>
      <c r="W3" s="122"/>
      <c r="X3" s="122">
        <f t="shared" si="0"/>
        <v>0</v>
      </c>
      <c r="Y3" s="122">
        <f>SUM(G3:X3)+AA3</f>
        <v>9</v>
      </c>
      <c r="Z3" s="122"/>
      <c r="AA3" s="122">
        <f t="shared" ref="AA3" si="1">IF(AA2=0,0,1)</f>
        <v>0</v>
      </c>
      <c r="AB3" s="139"/>
      <c r="AC3" s="139"/>
      <c r="AD3" s="139"/>
    </row>
    <row r="4" spans="1:71" ht="25.5" customHeight="1">
      <c r="A4" s="257" t="s">
        <v>1</v>
      </c>
      <c r="B4" s="258"/>
      <c r="C4" s="258"/>
      <c r="D4" s="258"/>
      <c r="E4" s="259"/>
      <c r="F4" s="124"/>
      <c r="G4" s="266" t="s">
        <v>58</v>
      </c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8"/>
    </row>
    <row r="5" spans="1:71" ht="25.5" customHeight="1">
      <c r="A5" s="260"/>
      <c r="B5" s="261"/>
      <c r="C5" s="261"/>
      <c r="D5" s="261"/>
      <c r="E5" s="262"/>
      <c r="F5" s="125"/>
      <c r="G5" s="269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1"/>
    </row>
    <row r="6" spans="1:71" ht="25.5" customHeight="1">
      <c r="A6" s="263"/>
      <c r="B6" s="264"/>
      <c r="C6" s="264"/>
      <c r="D6" s="264"/>
      <c r="E6" s="265"/>
      <c r="F6" s="121"/>
      <c r="G6" s="126" t="s">
        <v>59</v>
      </c>
      <c r="H6" s="126" t="s">
        <v>60</v>
      </c>
      <c r="I6" s="126" t="s">
        <v>61</v>
      </c>
      <c r="J6" s="126" t="s">
        <v>62</v>
      </c>
      <c r="K6" s="126" t="s">
        <v>63</v>
      </c>
      <c r="L6" s="126" t="s">
        <v>64</v>
      </c>
      <c r="M6" s="126" t="s">
        <v>65</v>
      </c>
      <c r="N6" s="126" t="s">
        <v>66</v>
      </c>
      <c r="O6" s="126" t="s">
        <v>67</v>
      </c>
      <c r="P6" s="126" t="s">
        <v>68</v>
      </c>
      <c r="Q6" s="126" t="s">
        <v>69</v>
      </c>
      <c r="R6" s="126" t="s">
        <v>70</v>
      </c>
      <c r="S6" s="126" t="s">
        <v>71</v>
      </c>
      <c r="T6" s="126" t="s">
        <v>72</v>
      </c>
      <c r="U6" s="126" t="s">
        <v>73</v>
      </c>
      <c r="V6" s="126" t="s">
        <v>74</v>
      </c>
      <c r="W6" s="126" t="s">
        <v>75</v>
      </c>
      <c r="X6" s="126" t="s">
        <v>76</v>
      </c>
      <c r="Y6" s="251"/>
      <c r="Z6" s="103"/>
      <c r="AA6" s="253" t="s">
        <v>16</v>
      </c>
      <c r="AB6" s="103"/>
      <c r="AC6" s="255" t="s">
        <v>17</v>
      </c>
      <c r="AD6" s="256" t="s">
        <v>18</v>
      </c>
      <c r="AE6" s="104"/>
      <c r="AF6" s="88"/>
      <c r="AG6" s="88"/>
      <c r="AH6" s="88"/>
      <c r="AI6" s="88"/>
      <c r="AJ6" s="88"/>
    </row>
    <row r="7" spans="1:71" s="65" customFormat="1" ht="25.5" customHeight="1">
      <c r="A7" s="119"/>
      <c r="B7" s="120"/>
      <c r="C7" s="120"/>
      <c r="D7" s="120"/>
      <c r="E7" s="120"/>
      <c r="F7" s="121"/>
      <c r="G7" s="127" t="s">
        <v>77</v>
      </c>
      <c r="H7" s="127" t="s">
        <v>78</v>
      </c>
      <c r="I7" s="127" t="s">
        <v>79</v>
      </c>
      <c r="J7" s="127" t="s">
        <v>106</v>
      </c>
      <c r="K7" s="127" t="s">
        <v>191</v>
      </c>
      <c r="L7" s="127" t="s">
        <v>108</v>
      </c>
      <c r="M7" s="127" t="s">
        <v>110</v>
      </c>
      <c r="N7" s="127" t="s">
        <v>202</v>
      </c>
      <c r="O7" s="127" t="s">
        <v>202</v>
      </c>
      <c r="P7" s="127" t="s">
        <v>80</v>
      </c>
      <c r="Q7" s="127" t="s">
        <v>81</v>
      </c>
      <c r="R7" s="127" t="s">
        <v>82</v>
      </c>
      <c r="S7" s="127" t="s">
        <v>83</v>
      </c>
      <c r="T7" s="127" t="s">
        <v>84</v>
      </c>
      <c r="U7" s="127" t="s">
        <v>85</v>
      </c>
      <c r="V7" s="127" t="s">
        <v>86</v>
      </c>
      <c r="W7" s="127" t="s">
        <v>87</v>
      </c>
      <c r="X7" s="127" t="s">
        <v>88</v>
      </c>
      <c r="Y7" s="252"/>
      <c r="Z7" s="105"/>
      <c r="AA7" s="254"/>
      <c r="AB7" s="105"/>
      <c r="AC7" s="255"/>
      <c r="AD7" s="256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</row>
    <row r="8" spans="1:71" ht="25.5" customHeight="1">
      <c r="A8" s="239" t="s">
        <v>20</v>
      </c>
      <c r="B8" s="240" t="s">
        <v>21</v>
      </c>
      <c r="C8" s="241" t="s">
        <v>22</v>
      </c>
      <c r="D8" s="241" t="s">
        <v>23</v>
      </c>
      <c r="E8" s="242" t="s">
        <v>24</v>
      </c>
      <c r="F8" s="241" t="s">
        <v>25</v>
      </c>
      <c r="G8" s="243" t="s">
        <v>89</v>
      </c>
      <c r="H8" s="243" t="s">
        <v>90</v>
      </c>
      <c r="I8" s="243" t="s">
        <v>91</v>
      </c>
      <c r="J8" s="243" t="s">
        <v>187</v>
      </c>
      <c r="K8" s="243" t="s">
        <v>192</v>
      </c>
      <c r="L8" s="243" t="s">
        <v>199</v>
      </c>
      <c r="M8" s="243" t="s">
        <v>200</v>
      </c>
      <c r="N8" s="243" t="s">
        <v>203</v>
      </c>
      <c r="O8" s="243" t="s">
        <v>205</v>
      </c>
      <c r="P8" s="243" t="s">
        <v>92</v>
      </c>
      <c r="Q8" s="243" t="s">
        <v>93</v>
      </c>
      <c r="R8" s="243" t="s">
        <v>94</v>
      </c>
      <c r="S8" s="243" t="s">
        <v>95</v>
      </c>
      <c r="T8" s="243" t="s">
        <v>96</v>
      </c>
      <c r="U8" s="243" t="s">
        <v>97</v>
      </c>
      <c r="V8" s="243" t="s">
        <v>98</v>
      </c>
      <c r="W8" s="243" t="s">
        <v>99</v>
      </c>
      <c r="X8" s="243" t="s">
        <v>100</v>
      </c>
      <c r="Y8" s="244" t="s">
        <v>39</v>
      </c>
      <c r="Z8" s="106" t="s">
        <v>40</v>
      </c>
      <c r="AA8" s="245" t="s">
        <v>41</v>
      </c>
      <c r="AB8" s="107" t="s">
        <v>42</v>
      </c>
      <c r="AC8" s="246" t="s">
        <v>43</v>
      </c>
      <c r="AD8" s="247" t="s">
        <v>44</v>
      </c>
      <c r="AE8" s="68"/>
    </row>
    <row r="9" spans="1:71" ht="25.5" customHeight="1">
      <c r="A9" s="132">
        <f>IF(A8="Elenco",1,A8+1)</f>
        <v>1</v>
      </c>
      <c r="B9" s="133" t="s">
        <v>107</v>
      </c>
      <c r="C9" s="79">
        <v>2009</v>
      </c>
      <c r="D9" s="79" t="s">
        <v>48</v>
      </c>
      <c r="E9" s="80">
        <f>IF(COUNTA(G9:X9,AA9)=0,"",COUNTA(G9:X9,AA9))</f>
        <v>9</v>
      </c>
      <c r="F9" s="134" t="s">
        <v>108</v>
      </c>
      <c r="G9" s="135">
        <v>3</v>
      </c>
      <c r="H9" s="82">
        <v>9</v>
      </c>
      <c r="I9" s="82">
        <v>6</v>
      </c>
      <c r="J9" s="82">
        <v>7</v>
      </c>
      <c r="K9" s="82">
        <v>8</v>
      </c>
      <c r="L9" s="82">
        <v>1</v>
      </c>
      <c r="M9" s="82">
        <v>2</v>
      </c>
      <c r="N9" s="82">
        <v>1</v>
      </c>
      <c r="O9" s="82">
        <v>3</v>
      </c>
      <c r="P9" s="82"/>
      <c r="Q9" s="82"/>
      <c r="R9" s="82"/>
      <c r="S9" s="82"/>
      <c r="T9" s="82"/>
      <c r="U9" s="82"/>
      <c r="V9" s="82"/>
      <c r="W9" s="82"/>
      <c r="X9" s="82"/>
      <c r="Y9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757</v>
      </c>
      <c r="Z9" s="144">
        <f>AVERAGE(MASCHI4[[#This Row],[18-feb]:[Data 18]])</f>
        <v>4.4444444444444446</v>
      </c>
      <c r="AA9" s="112"/>
      <c r="AB9" s="113"/>
      <c r="AC9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757</v>
      </c>
      <c r="AD9" s="145">
        <f>IFERROR(IF(E9=0,"",AC9/E9),"")</f>
        <v>84.111111111111114</v>
      </c>
      <c r="AE9" s="68"/>
    </row>
    <row r="10" spans="1:71" ht="25.5" customHeight="1">
      <c r="A10" s="132">
        <f>IF(A9="Elenco",1,A9+1)</f>
        <v>2</v>
      </c>
      <c r="B10" s="133" t="s">
        <v>109</v>
      </c>
      <c r="C10" s="79">
        <v>2009</v>
      </c>
      <c r="D10" s="79" t="s">
        <v>54</v>
      </c>
      <c r="E10" s="80">
        <f>IF(COUNTA(G10:X10,AA10)=0,"",COUNTA(G10:X10,AA10))</f>
        <v>8</v>
      </c>
      <c r="F10" s="134" t="s">
        <v>110</v>
      </c>
      <c r="G10" s="135">
        <v>2</v>
      </c>
      <c r="H10" s="82">
        <v>1</v>
      </c>
      <c r="I10" s="82"/>
      <c r="J10" s="82">
        <v>1</v>
      </c>
      <c r="K10" s="82">
        <v>2</v>
      </c>
      <c r="L10" s="82">
        <v>4</v>
      </c>
      <c r="M10" s="82">
        <v>2</v>
      </c>
      <c r="N10" s="82">
        <v>17</v>
      </c>
      <c r="O10" s="82">
        <v>1</v>
      </c>
      <c r="P10" s="82"/>
      <c r="Q10" s="82"/>
      <c r="R10" s="82"/>
      <c r="S10" s="82"/>
      <c r="T10" s="82"/>
      <c r="U10" s="82"/>
      <c r="V10" s="82"/>
      <c r="W10" s="82"/>
      <c r="X10" s="82"/>
      <c r="Y10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751</v>
      </c>
      <c r="Z10" s="144">
        <f>AVERAGE(MASCHI4[[#This Row],[18-feb]:[Data 18]])</f>
        <v>3.75</v>
      </c>
      <c r="AA10" s="112"/>
      <c r="AB10" s="113"/>
      <c r="AC10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751</v>
      </c>
      <c r="AD10" s="145">
        <f>IFERROR(IF(E10=0,"",AC10/E10),"")</f>
        <v>93.875</v>
      </c>
      <c r="AE10" s="68"/>
    </row>
    <row r="11" spans="1:71" ht="25.5" customHeight="1">
      <c r="A11" s="132">
        <f>IF(A10="Elenco",1,A10+1)</f>
        <v>3</v>
      </c>
      <c r="B11" s="133" t="s">
        <v>101</v>
      </c>
      <c r="C11" s="79">
        <v>2008</v>
      </c>
      <c r="D11" s="79" t="s">
        <v>48</v>
      </c>
      <c r="E11" s="80">
        <f>IF(COUNTA(G11:X11,AA11)=0,"",COUNTA(G11:X11,AA11))</f>
        <v>9</v>
      </c>
      <c r="F11" s="134" t="s">
        <v>102</v>
      </c>
      <c r="G11" s="135">
        <v>1</v>
      </c>
      <c r="H11" s="82">
        <v>6</v>
      </c>
      <c r="I11" s="82">
        <v>2</v>
      </c>
      <c r="J11" s="82">
        <v>2</v>
      </c>
      <c r="K11" s="82">
        <v>5</v>
      </c>
      <c r="L11" s="82">
        <v>4</v>
      </c>
      <c r="M11" s="82">
        <v>5</v>
      </c>
      <c r="N11" s="82">
        <v>15</v>
      </c>
      <c r="O11" s="82">
        <v>10</v>
      </c>
      <c r="P11" s="82"/>
      <c r="Q11" s="82"/>
      <c r="R11" s="82"/>
      <c r="S11" s="82"/>
      <c r="T11" s="82"/>
      <c r="U11" s="82"/>
      <c r="V11" s="82"/>
      <c r="W11" s="82"/>
      <c r="X11" s="82"/>
      <c r="Y11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708</v>
      </c>
      <c r="Z11" s="144">
        <f>AVERAGE(MASCHI4[[#This Row],[18-feb]:[Data 18]])</f>
        <v>5.5555555555555554</v>
      </c>
      <c r="AA11" s="112"/>
      <c r="AB11" s="113"/>
      <c r="AC11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708</v>
      </c>
      <c r="AD11" s="145">
        <f>IFERROR(IF(E11=0,"",AC11/E11),"")</f>
        <v>78.666666666666671</v>
      </c>
      <c r="AE11" s="68"/>
    </row>
    <row r="12" spans="1:71" ht="25.5" customHeight="1">
      <c r="A12" s="132">
        <f>IF(A11="Elenco",1,A11+1)</f>
        <v>4</v>
      </c>
      <c r="B12" s="133" t="s">
        <v>103</v>
      </c>
      <c r="C12" s="79">
        <v>2010</v>
      </c>
      <c r="D12" s="79" t="s">
        <v>54</v>
      </c>
      <c r="E12" s="80">
        <f>IF(COUNTA(G12:X12,AA12)=0,"",COUNTA(G12:X12,AA12))</f>
        <v>9</v>
      </c>
      <c r="F12" s="134" t="s">
        <v>104</v>
      </c>
      <c r="G12" s="135">
        <v>5</v>
      </c>
      <c r="H12" s="82">
        <v>5</v>
      </c>
      <c r="I12" s="82">
        <v>3</v>
      </c>
      <c r="J12" s="82">
        <v>11</v>
      </c>
      <c r="K12" s="82">
        <v>4</v>
      </c>
      <c r="L12" s="82">
        <v>7</v>
      </c>
      <c r="M12" s="82">
        <v>2</v>
      </c>
      <c r="N12" s="82">
        <v>10</v>
      </c>
      <c r="O12" s="82">
        <v>7</v>
      </c>
      <c r="P12" s="82"/>
      <c r="Q12" s="82"/>
      <c r="R12" s="82"/>
      <c r="S12" s="82"/>
      <c r="T12" s="82"/>
      <c r="U12" s="82"/>
      <c r="V12" s="82"/>
      <c r="W12" s="82"/>
      <c r="X12" s="82"/>
      <c r="Y12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657</v>
      </c>
      <c r="Z12" s="144">
        <f>AVERAGE(MASCHI4[[#This Row],[18-feb]:[Data 18]])</f>
        <v>6</v>
      </c>
      <c r="AA12" s="112"/>
      <c r="AB12" s="113"/>
      <c r="AC12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657</v>
      </c>
      <c r="AD12" s="145">
        <f>IFERROR(IF(E12=0,"",AC12/E12),"")</f>
        <v>73</v>
      </c>
      <c r="AE12" s="68"/>
    </row>
    <row r="13" spans="1:71" ht="25.5" customHeight="1">
      <c r="A13" s="132">
        <f>IF(A12="Elenco",1,A12+1)</f>
        <v>5</v>
      </c>
      <c r="B13" s="133" t="s">
        <v>105</v>
      </c>
      <c r="C13" s="79">
        <v>2007</v>
      </c>
      <c r="D13" s="79" t="s">
        <v>48</v>
      </c>
      <c r="E13" s="80">
        <f>IF(COUNTA(G13:X13,AA13)=0,"",COUNTA(G13:X13,AA13))</f>
        <v>9</v>
      </c>
      <c r="F13" s="134" t="s">
        <v>106</v>
      </c>
      <c r="G13" s="135">
        <v>5</v>
      </c>
      <c r="H13" s="82">
        <v>4</v>
      </c>
      <c r="I13" s="82">
        <v>8</v>
      </c>
      <c r="J13" s="82">
        <v>2</v>
      </c>
      <c r="K13" s="82">
        <v>9</v>
      </c>
      <c r="L13" s="82">
        <v>7</v>
      </c>
      <c r="M13" s="82">
        <v>5</v>
      </c>
      <c r="N13" s="82">
        <v>12</v>
      </c>
      <c r="O13" s="82">
        <v>6</v>
      </c>
      <c r="P13" s="82"/>
      <c r="Q13" s="82"/>
      <c r="R13" s="82"/>
      <c r="S13" s="82"/>
      <c r="T13" s="82"/>
      <c r="U13" s="82"/>
      <c r="V13" s="82"/>
      <c r="W13" s="82"/>
      <c r="X13" s="82"/>
      <c r="Y13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639</v>
      </c>
      <c r="Z13" s="144">
        <f>AVERAGE(MASCHI4[[#This Row],[18-feb]:[Data 18]])</f>
        <v>6.4444444444444446</v>
      </c>
      <c r="AA13" s="112"/>
      <c r="AB13" s="113"/>
      <c r="AC13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639</v>
      </c>
      <c r="AD13" s="145">
        <f>IFERROR(IF(E13=0,"",AC13/E13),"")</f>
        <v>71</v>
      </c>
      <c r="AE13" s="68"/>
    </row>
    <row r="14" spans="1:71" ht="25.5" customHeight="1">
      <c r="A14" s="132">
        <f>IF(A13="Elenco",1,A13+1)</f>
        <v>6</v>
      </c>
      <c r="B14" s="133" t="s">
        <v>111</v>
      </c>
      <c r="C14" s="79">
        <v>2011</v>
      </c>
      <c r="D14" s="79" t="s">
        <v>54</v>
      </c>
      <c r="E14" s="80">
        <f>IF(COUNTA(G14:X14,AA14)=0,"",COUNTA(G14:X14,AA14))</f>
        <v>9</v>
      </c>
      <c r="F14" s="134" t="s">
        <v>104</v>
      </c>
      <c r="G14" s="135">
        <v>7</v>
      </c>
      <c r="H14" s="82">
        <v>8</v>
      </c>
      <c r="I14" s="82">
        <v>7</v>
      </c>
      <c r="J14" s="82">
        <v>7</v>
      </c>
      <c r="K14" s="82">
        <v>6</v>
      </c>
      <c r="L14" s="82">
        <v>4</v>
      </c>
      <c r="M14" s="82">
        <v>5</v>
      </c>
      <c r="N14" s="82">
        <v>12</v>
      </c>
      <c r="O14" s="82">
        <v>7</v>
      </c>
      <c r="P14" s="82"/>
      <c r="Q14" s="82"/>
      <c r="R14" s="82"/>
      <c r="S14" s="82"/>
      <c r="T14" s="82"/>
      <c r="U14" s="82"/>
      <c r="V14" s="82"/>
      <c r="W14" s="82"/>
      <c r="X14" s="82"/>
      <c r="Y14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609</v>
      </c>
      <c r="Z14" s="144">
        <f>AVERAGE(MASCHI4[[#This Row],[18-feb]:[Data 18]])</f>
        <v>7</v>
      </c>
      <c r="AA14" s="112"/>
      <c r="AB14" s="113"/>
      <c r="AC14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609</v>
      </c>
      <c r="AD14" s="145">
        <f>IFERROR(IF(E14=0,"",AC14/E14),"")</f>
        <v>67.666666666666671</v>
      </c>
      <c r="AE14" s="68"/>
    </row>
    <row r="15" spans="1:71" ht="25.5" customHeight="1">
      <c r="A15" s="132">
        <f>IF(A14="Elenco",1,A14+1)</f>
        <v>7</v>
      </c>
      <c r="B15" s="133" t="s">
        <v>113</v>
      </c>
      <c r="C15" s="79">
        <v>2007</v>
      </c>
      <c r="D15" s="79" t="s">
        <v>48</v>
      </c>
      <c r="E15" s="80">
        <f>IF(COUNTA(G15:X15,AA15)=0,"",COUNTA(G15:X15,AA15))</f>
        <v>5</v>
      </c>
      <c r="F15" s="134" t="s">
        <v>104</v>
      </c>
      <c r="G15" s="135"/>
      <c r="H15" s="82">
        <v>2</v>
      </c>
      <c r="I15" s="82">
        <v>5</v>
      </c>
      <c r="J15" s="82">
        <v>4</v>
      </c>
      <c r="K15" s="82">
        <v>1</v>
      </c>
      <c r="L15" s="82"/>
      <c r="M15" s="82"/>
      <c r="N15" s="82"/>
      <c r="O15" s="82">
        <v>2</v>
      </c>
      <c r="P15" s="82"/>
      <c r="Q15" s="82"/>
      <c r="R15" s="82"/>
      <c r="S15" s="82"/>
      <c r="T15" s="82"/>
      <c r="U15" s="82"/>
      <c r="V15" s="82"/>
      <c r="W15" s="82"/>
      <c r="X15" s="82"/>
      <c r="Y15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460</v>
      </c>
      <c r="Z15" s="144">
        <f>AVERAGE(MASCHI4[[#This Row],[18-feb]:[Data 18]])</f>
        <v>2.8</v>
      </c>
      <c r="AA15" s="112"/>
      <c r="AB15" s="113"/>
      <c r="AC15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460</v>
      </c>
      <c r="AD15" s="145">
        <f>IFERROR(IF(E15=0,"",AC15/E15),"")</f>
        <v>92</v>
      </c>
      <c r="AE15" s="68"/>
    </row>
    <row r="16" spans="1:71" ht="25.5" customHeight="1">
      <c r="A16" s="132">
        <f>IF(A15="Elenco",1,A15+1)</f>
        <v>8</v>
      </c>
      <c r="B16" s="133" t="s">
        <v>114</v>
      </c>
      <c r="C16" s="79">
        <v>2010</v>
      </c>
      <c r="D16" s="79" t="s">
        <v>48</v>
      </c>
      <c r="E16" s="80">
        <f>IF(COUNTA(G16:X16,AA16)=0,"",COUNTA(G16:X16,AA16))</f>
        <v>6</v>
      </c>
      <c r="F16" s="134" t="s">
        <v>115</v>
      </c>
      <c r="G16" s="135">
        <v>8</v>
      </c>
      <c r="H16" s="82">
        <v>7</v>
      </c>
      <c r="I16" s="82"/>
      <c r="J16" s="82"/>
      <c r="K16" s="82"/>
      <c r="L16" s="82">
        <v>2</v>
      </c>
      <c r="M16" s="82">
        <v>8</v>
      </c>
      <c r="N16" s="82">
        <v>4</v>
      </c>
      <c r="O16" s="82">
        <v>4</v>
      </c>
      <c r="P16" s="82"/>
      <c r="Q16" s="82"/>
      <c r="R16" s="82"/>
      <c r="S16" s="82"/>
      <c r="T16" s="82"/>
      <c r="U16" s="82"/>
      <c r="V16" s="82"/>
      <c r="W16" s="82"/>
      <c r="X16" s="82"/>
      <c r="Y16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450</v>
      </c>
      <c r="Z16" s="144">
        <f>AVERAGE(MASCHI4[[#This Row],[18-feb]:[Data 18]])</f>
        <v>5.5</v>
      </c>
      <c r="AA16" s="112"/>
      <c r="AB16" s="113"/>
      <c r="AC16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450</v>
      </c>
      <c r="AD16" s="145">
        <f>IFERROR(IF(E16=0,"",AC16/E16),"")</f>
        <v>75</v>
      </c>
      <c r="AE16" s="68"/>
    </row>
    <row r="17" spans="1:31" ht="25.5" customHeight="1">
      <c r="A17" s="132">
        <f>IF(A16="Elenco",1,A16+1)</f>
        <v>9</v>
      </c>
      <c r="B17" s="133" t="s">
        <v>116</v>
      </c>
      <c r="C17" s="79">
        <v>2009</v>
      </c>
      <c r="D17" s="79"/>
      <c r="E17" s="80">
        <f>IF(COUNTA(G17:X17,AA17)=0,"",COUNTA(G17:X17,AA17))</f>
        <v>8</v>
      </c>
      <c r="F17" s="134" t="s">
        <v>115</v>
      </c>
      <c r="G17" s="135">
        <v>8</v>
      </c>
      <c r="H17" s="82">
        <v>10</v>
      </c>
      <c r="I17" s="82"/>
      <c r="J17" s="82">
        <v>9</v>
      </c>
      <c r="K17" s="82">
        <v>20</v>
      </c>
      <c r="L17" s="82">
        <v>13</v>
      </c>
      <c r="M17" s="82">
        <v>9</v>
      </c>
      <c r="N17" s="82">
        <v>22</v>
      </c>
      <c r="O17" s="82">
        <v>11</v>
      </c>
      <c r="P17" s="82"/>
      <c r="Q17" s="82"/>
      <c r="R17" s="82"/>
      <c r="S17" s="82"/>
      <c r="T17" s="82"/>
      <c r="U17" s="82"/>
      <c r="V17" s="82"/>
      <c r="W17" s="82"/>
      <c r="X17" s="82"/>
      <c r="Y17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414</v>
      </c>
      <c r="Z17" s="144">
        <f>AVERAGE(MASCHI4[[#This Row],[18-feb]:[Data 18]])</f>
        <v>12.75</v>
      </c>
      <c r="AA17" s="112"/>
      <c r="AB17" s="113"/>
      <c r="AC17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414</v>
      </c>
      <c r="AD17" s="145">
        <f>IFERROR(IF(E17=0,"",AC17/E17),"")</f>
        <v>51.75</v>
      </c>
      <c r="AE17" s="68"/>
    </row>
    <row r="18" spans="1:31" ht="25.5" customHeight="1">
      <c r="A18" s="199">
        <f>IF(A17="Elenco",1,A17+1)</f>
        <v>10</v>
      </c>
      <c r="B18" s="214" t="s">
        <v>188</v>
      </c>
      <c r="C18" s="79">
        <v>2010</v>
      </c>
      <c r="D18" s="79" t="s">
        <v>48</v>
      </c>
      <c r="E18" s="80">
        <f>IF(COUNTA(G18:X18,AA18)=0,"",COUNTA(G18:X18,AA18))</f>
        <v>5</v>
      </c>
      <c r="F18" s="216" t="s">
        <v>106</v>
      </c>
      <c r="G18" s="135"/>
      <c r="H18" s="82"/>
      <c r="I18" s="82"/>
      <c r="J18" s="82">
        <v>5</v>
      </c>
      <c r="K18" s="82">
        <v>15</v>
      </c>
      <c r="L18" s="82">
        <v>3</v>
      </c>
      <c r="M18" s="200"/>
      <c r="N18" s="82">
        <v>8</v>
      </c>
      <c r="O18" s="82">
        <v>5</v>
      </c>
      <c r="P18" s="82"/>
      <c r="Q18" s="82"/>
      <c r="R18" s="82"/>
      <c r="S18" s="200"/>
      <c r="T18" s="200"/>
      <c r="U18" s="200"/>
      <c r="V18" s="200"/>
      <c r="W18" s="200"/>
      <c r="X18" s="82"/>
      <c r="Y18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344</v>
      </c>
      <c r="Z18" s="144">
        <f>AVERAGE(MASCHI4[[#This Row],[18-feb]:[Data 18]])</f>
        <v>7.2</v>
      </c>
      <c r="AA18" s="112"/>
      <c r="AB18" s="113"/>
      <c r="AC18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344</v>
      </c>
      <c r="AD18" s="201">
        <f>IFERROR(IF(E18=0,"",AC18/E18),"")</f>
        <v>68.8</v>
      </c>
      <c r="AE18" s="68"/>
    </row>
    <row r="19" spans="1:31" ht="25.5" customHeight="1">
      <c r="A19" s="132">
        <f>IF(A18="Elenco",1,A18+1)</f>
        <v>11</v>
      </c>
      <c r="B19" s="133" t="s">
        <v>117</v>
      </c>
      <c r="C19" s="79">
        <v>2007</v>
      </c>
      <c r="D19" s="79"/>
      <c r="E19" s="80">
        <f>IF(COUNTA(G19:X19,AA19)=0,"",COUNTA(G19:X19,AA19))</f>
        <v>5</v>
      </c>
      <c r="F19" s="134" t="s">
        <v>110</v>
      </c>
      <c r="G19" s="135">
        <v>11</v>
      </c>
      <c r="H19" s="82">
        <v>12</v>
      </c>
      <c r="I19" s="82"/>
      <c r="J19" s="82">
        <v>12</v>
      </c>
      <c r="K19" s="82"/>
      <c r="L19" s="82">
        <v>9</v>
      </c>
      <c r="M19" s="82">
        <v>10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278</v>
      </c>
      <c r="Z19" s="144">
        <f>AVERAGE(MASCHI4[[#This Row],[18-feb]:[Data 18]])</f>
        <v>10.8</v>
      </c>
      <c r="AA19" s="112"/>
      <c r="AB19" s="113"/>
      <c r="AC19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278</v>
      </c>
      <c r="AD19" s="145">
        <f>IFERROR(IF(E19=0,"",AC19/E19),"")</f>
        <v>55.6</v>
      </c>
      <c r="AE19" s="68"/>
    </row>
    <row r="20" spans="1:31" ht="25.5" customHeight="1">
      <c r="A20" s="132">
        <f>IF(A19="Elenco",1,A19+1)</f>
        <v>12</v>
      </c>
      <c r="B20" s="133" t="s">
        <v>122</v>
      </c>
      <c r="C20" s="79">
        <v>2009</v>
      </c>
      <c r="D20" s="79"/>
      <c r="E20" s="80">
        <f>IF(COUNTA(G20:X20,AA20)=0,"",COUNTA(G20:X20,AA20))</f>
        <v>5</v>
      </c>
      <c r="F20" s="134" t="s">
        <v>110</v>
      </c>
      <c r="G20" s="135"/>
      <c r="H20" s="82">
        <v>14</v>
      </c>
      <c r="I20" s="82"/>
      <c r="J20" s="82">
        <v>13</v>
      </c>
      <c r="K20" s="82">
        <v>21</v>
      </c>
      <c r="L20" s="82"/>
      <c r="M20" s="82">
        <v>12</v>
      </c>
      <c r="N20" s="82"/>
      <c r="O20" s="82">
        <v>12</v>
      </c>
      <c r="P20" s="82"/>
      <c r="Q20" s="82"/>
      <c r="R20" s="82"/>
      <c r="S20" s="82"/>
      <c r="T20" s="82"/>
      <c r="U20" s="82"/>
      <c r="V20" s="82"/>
      <c r="W20" s="82"/>
      <c r="X20" s="82"/>
      <c r="Y20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233</v>
      </c>
      <c r="Z20" s="144">
        <f>AVERAGE(MASCHI4[[#This Row],[18-feb]:[Data 18]])</f>
        <v>14.4</v>
      </c>
      <c r="AA20" s="112"/>
      <c r="AB20" s="113"/>
      <c r="AC20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233</v>
      </c>
      <c r="AD20" s="145">
        <f>IFERROR(IF(E20=0,"",AC20/E20),"")</f>
        <v>46.6</v>
      </c>
      <c r="AE20" s="68"/>
    </row>
    <row r="21" spans="1:31" ht="25.5" customHeight="1">
      <c r="A21" s="132">
        <f>IF(A20="Elenco",1,A20+1)</f>
        <v>13</v>
      </c>
      <c r="B21" s="133" t="s">
        <v>119</v>
      </c>
      <c r="C21" s="79">
        <v>2008</v>
      </c>
      <c r="D21" s="79" t="s">
        <v>48</v>
      </c>
      <c r="E21" s="80">
        <f>IF(COUNTA(G21:X21,AA21)=0,"",COUNTA(G21:X21,AA21))</f>
        <v>3</v>
      </c>
      <c r="F21" s="134" t="s">
        <v>110</v>
      </c>
      <c r="G21" s="135">
        <v>10</v>
      </c>
      <c r="H21" s="82"/>
      <c r="I21" s="82"/>
      <c r="J21" s="82"/>
      <c r="K21" s="82"/>
      <c r="L21" s="82"/>
      <c r="M21" s="82">
        <v>1</v>
      </c>
      <c r="N21" s="82">
        <v>18</v>
      </c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212</v>
      </c>
      <c r="Z21" s="144">
        <f>AVERAGE(MASCHI4[[#This Row],[18-feb]:[Data 18]])</f>
        <v>9.6666666666666661</v>
      </c>
      <c r="AA21" s="112"/>
      <c r="AB21" s="113"/>
      <c r="AC21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212</v>
      </c>
      <c r="AD21" s="145">
        <f>IFERROR(IF(E21=0,"",AC21/E21),"")</f>
        <v>70.666666666666671</v>
      </c>
      <c r="AE21" s="68"/>
    </row>
    <row r="22" spans="1:31" ht="25.5" customHeight="1">
      <c r="A22" s="132">
        <f>IF(A21="Elenco",1,A21+1)</f>
        <v>14</v>
      </c>
      <c r="B22" s="133" t="s">
        <v>118</v>
      </c>
      <c r="C22" s="79">
        <v>2009</v>
      </c>
      <c r="D22" s="79"/>
      <c r="E22" s="80">
        <f>IF(COUNTA(G22:X22,AA22)=0,"",COUNTA(G22:X22,AA22))</f>
        <v>3</v>
      </c>
      <c r="F22" s="134" t="s">
        <v>106</v>
      </c>
      <c r="G22" s="135"/>
      <c r="H22" s="82"/>
      <c r="I22" s="82">
        <v>3</v>
      </c>
      <c r="J22" s="82"/>
      <c r="K22" s="82"/>
      <c r="L22" s="82">
        <v>10</v>
      </c>
      <c r="M22" s="82"/>
      <c r="N22" s="82"/>
      <c r="O22" s="82">
        <v>9</v>
      </c>
      <c r="P22" s="82"/>
      <c r="Q22" s="82"/>
      <c r="R22" s="82"/>
      <c r="S22" s="82"/>
      <c r="T22" s="82"/>
      <c r="U22" s="82"/>
      <c r="V22" s="82"/>
      <c r="W22" s="82"/>
      <c r="X22" s="82"/>
      <c r="Y22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204</v>
      </c>
      <c r="Z22" s="144">
        <f>AVERAGE(MASCHI4[[#This Row],[18-feb]:[Data 18]])</f>
        <v>7.333333333333333</v>
      </c>
      <c r="AA22" s="112"/>
      <c r="AB22" s="113"/>
      <c r="AC22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204</v>
      </c>
      <c r="AD22" s="145">
        <f>IFERROR(IF(E22=0,"",AC22/E22),"")</f>
        <v>68</v>
      </c>
      <c r="AE22" s="68"/>
    </row>
    <row r="23" spans="1:31" ht="25.5" customHeight="1">
      <c r="A23" s="132">
        <f>IF(A22="Elenco",1,A22+1)</f>
        <v>15</v>
      </c>
      <c r="B23" s="133" t="s">
        <v>120</v>
      </c>
      <c r="C23" s="79">
        <v>2011</v>
      </c>
      <c r="D23" s="79"/>
      <c r="E23" s="80">
        <f>IF(COUNTA(G23:X23,AA23)=0,"",COUNTA(G23:X23,AA23))</f>
        <v>4</v>
      </c>
      <c r="F23" s="134" t="s">
        <v>78</v>
      </c>
      <c r="G23" s="135"/>
      <c r="H23" s="82">
        <v>11</v>
      </c>
      <c r="I23" s="82"/>
      <c r="J23" s="82">
        <v>15</v>
      </c>
      <c r="K23" s="82"/>
      <c r="L23" s="82">
        <v>15</v>
      </c>
      <c r="M23" s="82"/>
      <c r="N23" s="82"/>
      <c r="O23" s="82">
        <v>13</v>
      </c>
      <c r="P23" s="82"/>
      <c r="Q23" s="82"/>
      <c r="R23" s="82"/>
      <c r="S23" s="82"/>
      <c r="T23" s="82"/>
      <c r="U23" s="82"/>
      <c r="V23" s="82"/>
      <c r="W23" s="82"/>
      <c r="X23" s="82"/>
      <c r="Y23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194</v>
      </c>
      <c r="Z23" s="144">
        <f>AVERAGE(MASCHI4[[#This Row],[18-feb]:[Data 18]])</f>
        <v>13.5</v>
      </c>
      <c r="AA23" s="112"/>
      <c r="AB23" s="113"/>
      <c r="AC23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194</v>
      </c>
      <c r="AD23" s="145">
        <f>IFERROR(IF(E23=0,"",AC23/E23),"")</f>
        <v>48.5</v>
      </c>
      <c r="AE23" s="68"/>
    </row>
    <row r="24" spans="1:31" ht="25.5" customHeight="1">
      <c r="A24" s="132">
        <f>IF(A23="Elenco",1,A23+1)</f>
        <v>16</v>
      </c>
      <c r="B24" s="133" t="s">
        <v>112</v>
      </c>
      <c r="C24" s="79">
        <v>2007</v>
      </c>
      <c r="D24" s="79" t="s">
        <v>48</v>
      </c>
      <c r="E24" s="80">
        <f>IF(COUNTA(G24:X24,AA24)=0,"",COUNTA(G24:X24,AA24))</f>
        <v>2</v>
      </c>
      <c r="F24" s="134" t="s">
        <v>106</v>
      </c>
      <c r="G24" s="135">
        <v>3</v>
      </c>
      <c r="H24" s="82">
        <v>2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180</v>
      </c>
      <c r="Z24" s="144">
        <f>AVERAGE(MASCHI4[[#This Row],[18-feb]:[Data 18]])</f>
        <v>2.5</v>
      </c>
      <c r="AA24" s="112"/>
      <c r="AB24" s="113"/>
      <c r="AC24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180</v>
      </c>
      <c r="AD24" s="145">
        <f>IFERROR(IF(E24=0,"",AC24/E24),"")</f>
        <v>90</v>
      </c>
      <c r="AE24" s="68"/>
    </row>
    <row r="25" spans="1:31" ht="25.5" customHeight="1">
      <c r="A25" s="202">
        <f>IF(A24="Elenco",1,A24+1)</f>
        <v>17</v>
      </c>
      <c r="B25" s="212" t="s">
        <v>189</v>
      </c>
      <c r="C25" s="203">
        <v>2007</v>
      </c>
      <c r="D25" s="203"/>
      <c r="E25" s="204">
        <f>IF(COUNTA(G25:X25,AA25)=0,"",COUNTA(G25:X25,AA25))</f>
        <v>2</v>
      </c>
      <c r="F25" s="205" t="s">
        <v>106</v>
      </c>
      <c r="G25" s="206"/>
      <c r="H25" s="207"/>
      <c r="I25" s="208"/>
      <c r="J25" s="208">
        <v>6</v>
      </c>
      <c r="K25" s="164">
        <v>17</v>
      </c>
      <c r="L25" s="164"/>
      <c r="M25" s="209"/>
      <c r="N25" s="164"/>
      <c r="O25" s="164"/>
      <c r="P25" s="164"/>
      <c r="Q25" s="164"/>
      <c r="R25" s="164"/>
      <c r="S25" s="209"/>
      <c r="T25" s="209"/>
      <c r="U25" s="209"/>
      <c r="V25" s="209"/>
      <c r="W25" s="209"/>
      <c r="X25" s="164"/>
      <c r="Y25" s="169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111</v>
      </c>
      <c r="Z25" s="210">
        <f>AVERAGE(MASCHI4[[#This Row],[18-feb]:[Data 18]])</f>
        <v>11.5</v>
      </c>
      <c r="AA25" s="171"/>
      <c r="AB25" s="172"/>
      <c r="AC25" s="173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111</v>
      </c>
      <c r="AD25" s="211">
        <f>IFERROR(IF(E25=0,"",AC25/E25),"")</f>
        <v>55.5</v>
      </c>
    </row>
    <row r="26" spans="1:31" ht="25.5" customHeight="1">
      <c r="A26" s="218">
        <v>28</v>
      </c>
      <c r="B26" s="212" t="s">
        <v>204</v>
      </c>
      <c r="C26" s="219">
        <v>2007</v>
      </c>
      <c r="D26" s="219"/>
      <c r="E26" s="220">
        <f>IF(COUNTA(G26:X26,AA26)=0,"",COUNTA(G26:X26,AA26))</f>
        <v>1</v>
      </c>
      <c r="F26" s="205" t="s">
        <v>110</v>
      </c>
      <c r="G26" s="222"/>
      <c r="H26" s="223"/>
      <c r="I26" s="224"/>
      <c r="J26" s="224"/>
      <c r="K26" s="225"/>
      <c r="L26" s="225"/>
      <c r="M26" s="226"/>
      <c r="N26" s="225">
        <v>2</v>
      </c>
      <c r="O26" s="225"/>
      <c r="P26" s="225"/>
      <c r="Q26" s="225"/>
      <c r="R26" s="225"/>
      <c r="S26" s="226"/>
      <c r="T26" s="226"/>
      <c r="U26" s="226"/>
      <c r="V26" s="226"/>
      <c r="W26" s="226"/>
      <c r="X26" s="225"/>
      <c r="Y26" s="227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95</v>
      </c>
      <c r="Z26" s="228">
        <f>AVERAGE(MASCHI4[[#This Row],[18-feb]:[Data 18]])</f>
        <v>2</v>
      </c>
      <c r="AA26" s="229"/>
      <c r="AB26" s="230"/>
      <c r="AC26" s="231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95</v>
      </c>
      <c r="AD26" s="232">
        <f>IFERROR(IF(E26=0,"",AC26/E26),"")</f>
        <v>95</v>
      </c>
    </row>
    <row r="27" spans="1:31" ht="25.5" customHeight="1">
      <c r="A27" s="202">
        <f>IF(A26="Elenco",1,A26+1)</f>
        <v>29</v>
      </c>
      <c r="B27" s="212" t="s">
        <v>194</v>
      </c>
      <c r="C27" s="203">
        <v>2012</v>
      </c>
      <c r="D27" s="203" t="s">
        <v>48</v>
      </c>
      <c r="E27" s="204">
        <f>IF(COUNTA(G27:X27,AA27)=0,"",COUNTA(G27:X27,AA27))</f>
        <v>2</v>
      </c>
      <c r="F27" s="205" t="s">
        <v>104</v>
      </c>
      <c r="G27" s="206"/>
      <c r="H27" s="207"/>
      <c r="I27" s="208"/>
      <c r="J27" s="208"/>
      <c r="K27" s="164">
        <v>14</v>
      </c>
      <c r="L27" s="164"/>
      <c r="M27" s="209"/>
      <c r="N27" s="164">
        <v>20</v>
      </c>
      <c r="O27" s="164"/>
      <c r="P27" s="164"/>
      <c r="Q27" s="164"/>
      <c r="R27" s="164"/>
      <c r="S27" s="209"/>
      <c r="T27" s="209"/>
      <c r="U27" s="209"/>
      <c r="V27" s="209"/>
      <c r="W27" s="209"/>
      <c r="X27" s="164"/>
      <c r="Y27" s="169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82</v>
      </c>
      <c r="Z27" s="210">
        <f>AVERAGE(MASCHI4[[#This Row],[18-feb]:[Data 18]])</f>
        <v>17</v>
      </c>
      <c r="AA27" s="171"/>
      <c r="AB27" s="172"/>
      <c r="AC27" s="173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82</v>
      </c>
      <c r="AD27" s="211">
        <f>IFERROR(IF(E27=0,"",AC27/E27),"")</f>
        <v>41</v>
      </c>
    </row>
    <row r="28" spans="1:31" ht="25.5" customHeight="1">
      <c r="A28" s="218">
        <f>IF(A27="Elenco",1,A27+1)</f>
        <v>30</v>
      </c>
      <c r="B28" s="212" t="s">
        <v>193</v>
      </c>
      <c r="C28" s="219">
        <v>2008</v>
      </c>
      <c r="D28" s="219" t="s">
        <v>54</v>
      </c>
      <c r="E28" s="220">
        <f>IF(COUNTA(G28:X28,AA28)=0,"",COUNTA(G28:X28,AA28))</f>
        <v>1</v>
      </c>
      <c r="F28" s="221" t="s">
        <v>104</v>
      </c>
      <c r="G28" s="222"/>
      <c r="H28" s="223"/>
      <c r="I28" s="224"/>
      <c r="J28" s="224"/>
      <c r="K28" s="225">
        <v>7</v>
      </c>
      <c r="L28" s="225"/>
      <c r="M28" s="226"/>
      <c r="N28" s="225"/>
      <c r="O28" s="225"/>
      <c r="P28" s="225"/>
      <c r="Q28" s="225"/>
      <c r="R28" s="225"/>
      <c r="S28" s="226"/>
      <c r="T28" s="226"/>
      <c r="U28" s="226"/>
      <c r="V28" s="226"/>
      <c r="W28" s="226"/>
      <c r="X28" s="225"/>
      <c r="Y28" s="227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67</v>
      </c>
      <c r="Z28" s="228">
        <f>AVERAGE(MASCHI4[[#This Row],[18-feb]:[Data 18]])</f>
        <v>7</v>
      </c>
      <c r="AA28" s="229"/>
      <c r="AB28" s="230"/>
      <c r="AC28" s="231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67</v>
      </c>
      <c r="AD28" s="232">
        <f>IFERROR(IF(E28=0,"",AC28/E28),"")</f>
        <v>67</v>
      </c>
    </row>
    <row r="29" spans="1:31" ht="25.5" customHeight="1">
      <c r="A29" s="218">
        <v>23</v>
      </c>
      <c r="B29" s="212" t="s">
        <v>201</v>
      </c>
      <c r="C29" s="219">
        <v>2011</v>
      </c>
      <c r="D29" s="219"/>
      <c r="E29" s="220">
        <f>IF(COUNTA(G29:X29,AA29)=0,"",COUNTA(G29:X29,AA29))</f>
        <v>1</v>
      </c>
      <c r="F29" s="221" t="s">
        <v>110</v>
      </c>
      <c r="G29" s="222"/>
      <c r="H29" s="223"/>
      <c r="I29" s="224"/>
      <c r="J29" s="224"/>
      <c r="K29" s="225"/>
      <c r="L29" s="225"/>
      <c r="M29" s="226">
        <v>11</v>
      </c>
      <c r="N29" s="225"/>
      <c r="O29" s="225"/>
      <c r="P29" s="225"/>
      <c r="Q29" s="225"/>
      <c r="R29" s="225"/>
      <c r="S29" s="226"/>
      <c r="T29" s="226"/>
      <c r="U29" s="226"/>
      <c r="V29" s="226"/>
      <c r="W29" s="226"/>
      <c r="X29" s="225"/>
      <c r="Y29" s="227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55</v>
      </c>
      <c r="Z29" s="228">
        <f>AVERAGE(MASCHI4[[#This Row],[18-feb]:[Data 18]])</f>
        <v>11</v>
      </c>
      <c r="AA29" s="229"/>
      <c r="AB29" s="230"/>
      <c r="AC29" s="231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55</v>
      </c>
      <c r="AD29" s="232">
        <f>IFERROR(IF(E29=0,"",AC29/E29),"")</f>
        <v>55</v>
      </c>
    </row>
    <row r="30" spans="1:31" ht="25.5" customHeight="1">
      <c r="A30" s="202">
        <f>IF(A29="Elenco",1,A29+1)</f>
        <v>24</v>
      </c>
      <c r="B30" s="212" t="s">
        <v>190</v>
      </c>
      <c r="C30" s="203">
        <v>2011</v>
      </c>
      <c r="D30" s="203"/>
      <c r="E30" s="204">
        <f>IF(COUNTA(G30:X30,AA30)=0,"",COUNTA(G30:X30,AA30))</f>
        <v>1</v>
      </c>
      <c r="F30" s="205" t="s">
        <v>106</v>
      </c>
      <c r="G30" s="206"/>
      <c r="H30" s="207"/>
      <c r="I30" s="208"/>
      <c r="J30" s="208">
        <v>13</v>
      </c>
      <c r="K30" s="164"/>
      <c r="L30" s="164"/>
      <c r="M30" s="209"/>
      <c r="N30" s="164"/>
      <c r="O30" s="164"/>
      <c r="P30" s="164"/>
      <c r="Q30" s="164"/>
      <c r="R30" s="164"/>
      <c r="S30" s="209"/>
      <c r="T30" s="209"/>
      <c r="U30" s="209"/>
      <c r="V30" s="209"/>
      <c r="W30" s="209"/>
      <c r="X30" s="164"/>
      <c r="Y30" s="169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49</v>
      </c>
      <c r="Z30" s="210">
        <f>AVERAGE(MASCHI4[[#This Row],[18-feb]:[Data 18]])</f>
        <v>13</v>
      </c>
      <c r="AA30" s="171"/>
      <c r="AB30" s="172"/>
      <c r="AC30" s="173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49</v>
      </c>
      <c r="AD30" s="211">
        <f>IFERROR(IF(E30=0,"",AC30/E30),"")</f>
        <v>49</v>
      </c>
    </row>
    <row r="31" spans="1:31" ht="25.5" customHeight="1">
      <c r="A31" s="213">
        <f>IF(A30="Elenco",1,A30+1)</f>
        <v>25</v>
      </c>
      <c r="B31" s="215" t="s">
        <v>121</v>
      </c>
      <c r="C31" s="203">
        <v>2010</v>
      </c>
      <c r="D31" s="203"/>
      <c r="E31" s="204">
        <f>IF(COUNTA(G31:X31,AA31)=0,"",COUNTA(G31:X31,AA31))</f>
        <v>1</v>
      </c>
      <c r="F31" s="217" t="s">
        <v>110</v>
      </c>
      <c r="G31" s="206"/>
      <c r="H31" s="207">
        <v>13</v>
      </c>
      <c r="I31" s="208"/>
      <c r="J31" s="208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9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49</v>
      </c>
      <c r="Z31" s="210">
        <f>AVERAGE(MASCHI4[[#This Row],[18-feb]:[Data 18]])</f>
        <v>13</v>
      </c>
      <c r="AA31" s="171"/>
      <c r="AB31" s="172"/>
      <c r="AC31" s="173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49</v>
      </c>
      <c r="AD31" s="174">
        <f>IFERROR(IF(E31=0,"",AC31/E31),"")</f>
        <v>49</v>
      </c>
    </row>
    <row r="32" spans="1:31" ht="25.5" customHeight="1">
      <c r="A32" s="202">
        <f>IF(A31="Elenco",1,A31+1)</f>
        <v>26</v>
      </c>
      <c r="B32" s="212" t="s">
        <v>195</v>
      </c>
      <c r="C32" s="203">
        <v>2013</v>
      </c>
      <c r="D32" s="203" t="s">
        <v>54</v>
      </c>
      <c r="E32" s="204">
        <f>IF(COUNTA(G32:X32,AA32)=0,"",COUNTA(G32:X32,AA32))</f>
        <v>1</v>
      </c>
      <c r="F32" s="205" t="s">
        <v>108</v>
      </c>
      <c r="G32" s="206"/>
      <c r="H32" s="207"/>
      <c r="I32" s="208"/>
      <c r="J32" s="208"/>
      <c r="K32" s="164">
        <v>19</v>
      </c>
      <c r="L32" s="164"/>
      <c r="M32" s="209"/>
      <c r="N32" s="164"/>
      <c r="O32" s="164"/>
      <c r="P32" s="164"/>
      <c r="Q32" s="164"/>
      <c r="R32" s="164"/>
      <c r="S32" s="209"/>
      <c r="T32" s="209"/>
      <c r="U32" s="209"/>
      <c r="V32" s="209"/>
      <c r="W32" s="209"/>
      <c r="X32" s="164"/>
      <c r="Y32" s="169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37</v>
      </c>
      <c r="Z32" s="210">
        <f>AVERAGE(MASCHI4[[#This Row],[18-feb]:[Data 18]])</f>
        <v>19</v>
      </c>
      <c r="AA32" s="171"/>
      <c r="AB32" s="172"/>
      <c r="AC32" s="173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37</v>
      </c>
      <c r="AD32" s="211">
        <f>IFERROR(IF(E32=0,"",AC32/E32),"")</f>
        <v>37</v>
      </c>
    </row>
    <row r="33" spans="1:6" ht="25.5" customHeight="1">
      <c r="A33" s="99"/>
      <c r="B33" s="95"/>
      <c r="E33" s="93"/>
      <c r="F33" s="136"/>
    </row>
    <row r="34" spans="1:6" ht="25.5" customHeight="1">
      <c r="A34" s="99"/>
      <c r="B34" s="95"/>
      <c r="E34" s="93"/>
      <c r="F34" s="136"/>
    </row>
    <row r="35" spans="1:6" ht="25.5" customHeight="1">
      <c r="A35" s="99"/>
      <c r="B35" s="95"/>
      <c r="E35" s="93"/>
      <c r="F35" s="136"/>
    </row>
    <row r="36" spans="1:6" ht="25.5" customHeight="1">
      <c r="A36" s="99"/>
      <c r="B36" s="95"/>
      <c r="E36" s="93"/>
      <c r="F36" s="136"/>
    </row>
    <row r="37" spans="1:6" ht="25.5" customHeight="1">
      <c r="A37" s="99"/>
      <c r="B37" s="95"/>
      <c r="E37" s="93"/>
      <c r="F37" s="136"/>
    </row>
    <row r="38" spans="1:6" ht="25.5" customHeight="1">
      <c r="A38" s="99"/>
      <c r="B38" s="95"/>
      <c r="E38" s="93"/>
      <c r="F38" s="136"/>
    </row>
    <row r="39" spans="1:6" ht="25.5" customHeight="1">
      <c r="A39" s="99"/>
      <c r="B39" s="95"/>
      <c r="E39" s="93"/>
      <c r="F39" s="136"/>
    </row>
    <row r="40" spans="1:6" ht="25.5" customHeight="1">
      <c r="A40" s="99"/>
      <c r="B40" s="95"/>
      <c r="E40" s="93"/>
      <c r="F40" s="136"/>
    </row>
    <row r="41" spans="1:6" ht="25.5" customHeight="1">
      <c r="A41" s="99"/>
      <c r="B41" s="95"/>
      <c r="E41" s="93"/>
      <c r="F41" s="136"/>
    </row>
    <row r="42" spans="1:6" ht="25.5" customHeight="1">
      <c r="A42" s="99"/>
      <c r="B42" s="95"/>
      <c r="E42" s="93"/>
      <c r="F42" s="136"/>
    </row>
    <row r="43" spans="1:6" ht="25.5" customHeight="1">
      <c r="A43" s="99"/>
      <c r="B43" s="95"/>
      <c r="E43" s="93"/>
      <c r="F43" s="136"/>
    </row>
    <row r="44" spans="1:6" ht="25.5" customHeight="1">
      <c r="A44" s="99"/>
      <c r="B44" s="95"/>
      <c r="E44" s="93"/>
      <c r="F44" s="136"/>
    </row>
    <row r="45" spans="1:6" ht="25.5" customHeight="1">
      <c r="A45" s="99"/>
      <c r="B45" s="95"/>
      <c r="E45" s="93"/>
      <c r="F45" s="136"/>
    </row>
    <row r="46" spans="1:6" ht="25.5" customHeight="1">
      <c r="A46" s="99"/>
      <c r="B46" s="95"/>
      <c r="E46" s="93"/>
      <c r="F46" s="136"/>
    </row>
    <row r="47" spans="1:6" ht="25.5" customHeight="1">
      <c r="B47" s="116"/>
      <c r="C47" s="93"/>
      <c r="D47" s="93"/>
      <c r="E47" s="93"/>
      <c r="F47" s="137"/>
    </row>
    <row r="48" spans="1:6" ht="25.5" customHeight="1">
      <c r="B48" s="116"/>
      <c r="C48" s="93"/>
      <c r="D48" s="93"/>
      <c r="E48" s="93"/>
      <c r="F48" s="137"/>
    </row>
    <row r="49" spans="2:6" ht="25.5" customHeight="1">
      <c r="B49" s="117"/>
      <c r="C49" s="93"/>
      <c r="D49" s="93"/>
      <c r="E49" s="93"/>
      <c r="F49" s="137"/>
    </row>
    <row r="50" spans="2:6" ht="25.5" customHeight="1">
      <c r="B50" s="116"/>
      <c r="C50" s="93"/>
      <c r="D50" s="93"/>
      <c r="E50" s="93"/>
      <c r="F50" s="137"/>
    </row>
    <row r="51" spans="2:6" ht="25.5" customHeight="1">
      <c r="B51" s="116"/>
      <c r="C51" s="93"/>
      <c r="D51" s="93"/>
      <c r="E51" s="93"/>
      <c r="F51" s="137"/>
    </row>
    <row r="52" spans="2:6" ht="25.5" customHeight="1">
      <c r="B52" s="117"/>
      <c r="C52" s="93"/>
      <c r="D52" s="93"/>
      <c r="E52" s="93"/>
      <c r="F52" s="137"/>
    </row>
    <row r="53" spans="2:6" ht="25.5" customHeight="1">
      <c r="B53" s="116"/>
      <c r="C53" s="93"/>
      <c r="D53" s="93"/>
      <c r="E53" s="93"/>
      <c r="F53" s="137"/>
    </row>
    <row r="54" spans="2:6" ht="25.5" customHeight="1">
      <c r="B54" s="116"/>
      <c r="C54" s="93"/>
      <c r="D54" s="93"/>
      <c r="E54" s="93"/>
      <c r="F54" s="137"/>
    </row>
    <row r="55" spans="2:6" ht="25.5" customHeight="1">
      <c r="B55" s="116"/>
      <c r="C55" s="93"/>
      <c r="D55" s="93"/>
      <c r="E55" s="93"/>
      <c r="F55" s="137"/>
    </row>
    <row r="56" spans="2:6" ht="25.5" customHeight="1">
      <c r="B56" s="116"/>
      <c r="C56" s="93"/>
      <c r="D56" s="93"/>
      <c r="E56" s="93"/>
      <c r="F56" s="137"/>
    </row>
    <row r="57" spans="2:6" ht="25.5" customHeight="1">
      <c r="B57" s="116"/>
      <c r="C57" s="93"/>
      <c r="D57" s="93"/>
      <c r="E57" s="93"/>
      <c r="F57" s="137"/>
    </row>
  </sheetData>
  <mergeCells count="7">
    <mergeCell ref="A1:AD1"/>
    <mergeCell ref="Y6:Y7"/>
    <mergeCell ref="AA6:AA7"/>
    <mergeCell ref="AC6:AC7"/>
    <mergeCell ref="AD6:AD7"/>
    <mergeCell ref="A4:E6"/>
    <mergeCell ref="G4:AD5"/>
  </mergeCells>
  <conditionalFormatting sqref="G9:X32">
    <cfRule type="containsBlanks" dxfId="65" priority="1">
      <formula>LEN(TRIM(G9))=0</formula>
    </cfRule>
  </conditionalFormatting>
  <dataValidations count="1">
    <dataValidation type="list" allowBlank="1" showInputMessage="1" showErrorMessage="1" sqref="D9:D32">
      <formula1>CATEGORIA</formula1>
    </dataValidation>
  </dataValidations>
  <printOptions horizontalCentered="1" verticalCentered="1" gridLines="1"/>
  <pageMargins left="0" right="0" top="0" bottom="0" header="0.31496062992126" footer="0.31496062992126"/>
  <pageSetup paperSize="9" scale="45" fitToHeight="3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"/>
  <sheetViews>
    <sheetView tabSelected="1" zoomScale="70" zoomScaleNormal="70" workbookViewId="0">
      <selection activeCell="O22" sqref="O22"/>
    </sheetView>
  </sheetViews>
  <sheetFormatPr defaultColWidth="9.140625" defaultRowHeight="25.5" customHeight="1"/>
  <cols>
    <col min="1" max="1" width="10.42578125" style="66" customWidth="1"/>
    <col min="2" max="2" width="40.28515625" style="67" customWidth="1"/>
    <col min="3" max="3" width="16.85546875" style="67" customWidth="1"/>
    <col min="4" max="4" width="14.5703125" style="67" customWidth="1"/>
    <col min="5" max="5" width="13.5703125" style="66" customWidth="1"/>
    <col min="6" max="6" width="21.42578125" style="66" customWidth="1"/>
    <col min="7" max="7" width="14.42578125" style="66" customWidth="1"/>
    <col min="8" max="8" width="17.7109375" style="66" customWidth="1"/>
    <col min="9" max="9" width="14.5703125" style="68" customWidth="1"/>
    <col min="10" max="10" width="14.7109375" style="66" customWidth="1"/>
    <col min="11" max="11" width="14.85546875" style="66" customWidth="1"/>
    <col min="12" max="12" width="14.140625" style="66" customWidth="1"/>
    <col min="13" max="13" width="12.42578125" style="66" customWidth="1"/>
    <col min="14" max="14" width="16.7109375" style="66" customWidth="1"/>
    <col min="15" max="15" width="17" style="66" customWidth="1"/>
    <col min="16" max="16" width="9" style="66" customWidth="1"/>
    <col min="17" max="17" width="10.5703125" style="66" customWidth="1"/>
    <col min="18" max="18" width="10.140625" style="66" customWidth="1"/>
    <col min="19" max="19" width="10.42578125" style="66" customWidth="1"/>
    <col min="20" max="20" width="10.5703125" style="66" customWidth="1"/>
    <col min="21" max="21" width="9" style="66" customWidth="1"/>
    <col min="22" max="22" width="10.140625" style="66" customWidth="1"/>
    <col min="23" max="23" width="10" style="66" customWidth="1"/>
    <col min="24" max="24" width="10.5703125" style="66" customWidth="1"/>
    <col min="25" max="25" width="15" style="66" customWidth="1"/>
    <col min="26" max="26" width="4" style="66" customWidth="1"/>
    <col min="27" max="27" width="15.140625" style="66" customWidth="1"/>
    <col min="28" max="28" width="4" style="66" customWidth="1"/>
    <col min="29" max="30" width="15" style="66" customWidth="1"/>
    <col min="31" max="16384" width="9.140625" style="66"/>
  </cols>
  <sheetData>
    <row r="1" spans="1:36" ht="72.95" customHeight="1">
      <c r="A1" s="248" t="s">
        <v>57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50"/>
    </row>
    <row r="2" spans="1:36" ht="25.5" customHeight="1">
      <c r="A2" s="69"/>
      <c r="B2" s="70"/>
      <c r="C2" s="70"/>
      <c r="D2" s="70"/>
      <c r="E2" s="69"/>
      <c r="F2" s="69"/>
      <c r="G2" s="71">
        <f>IF(COUNTA(FEMMINE7[18-feb])=0,0,COUNTA(FEMMINE7[18-feb]))</f>
        <v>7</v>
      </c>
      <c r="H2" s="71">
        <f>IF(COUNTA(FEMMINE7[29-mar])=0,0,COUNTA(FEMMINE7[29-mar]))</f>
        <v>2</v>
      </c>
      <c r="I2" s="71">
        <f>IF(COUNTA(FEMMINE7[6/7 apr])=0,0,COUNTA(FEMMINE7[6/7 apr]))</f>
        <v>5</v>
      </c>
      <c r="J2" s="71">
        <f>IF(COUNTA(FEMMINE7[11-giu])=0,0,COUNTA(FEMMINE7[11-giu]))</f>
        <v>6</v>
      </c>
      <c r="K2" s="71">
        <f>IF(COUNTA(FEMMINE7[22/23 giu])=0,0,COUNTA(FEMMINE7[22/23 giu]))</f>
        <v>9</v>
      </c>
      <c r="L2" s="71">
        <f>IF(COUNTA(FEMMINE7[23-lug])=0,0,COUNTA(FEMMINE7[23-lug]))</f>
        <v>10</v>
      </c>
      <c r="M2" s="71">
        <f>IF(COUNTA(FEMMINE7[31-lug])=0,0,COUNTA(FEMMINE7[31-lug]))</f>
        <v>5</v>
      </c>
      <c r="N2" s="71">
        <f>IF(COUNTA(FEMMINE7[31-ago/01-set])=0,0,COUNTA(FEMMINE7[31-ago/01-set]))</f>
        <v>0</v>
      </c>
      <c r="O2" s="71">
        <f>IF(COUNTA(FEMMINE7[10-set])=0,0,COUNTA(FEMMINE7[10-set]))</f>
        <v>4</v>
      </c>
      <c r="P2" s="71">
        <f>IF(COUNTA(FEMMINE7[Data 10])=0,0,COUNTA(FEMMINE7[Data 10]))</f>
        <v>0</v>
      </c>
      <c r="Q2" s="71">
        <f>IF(COUNTA(FEMMINE7[Data 11])=0,0,COUNTA(FEMMINE7[Data 11]))</f>
        <v>0</v>
      </c>
      <c r="R2" s="71">
        <f>IF(COUNTA(FEMMINE7[Data 12])=0,0,COUNTA(FEMMINE7[Data 12]))</f>
        <v>0</v>
      </c>
      <c r="S2" s="71"/>
      <c r="T2" s="71"/>
      <c r="U2" s="71"/>
      <c r="V2" s="71"/>
      <c r="W2" s="71"/>
      <c r="X2" s="71">
        <f>IF(COUNTA(FEMMINE7[Data 18])=0,0,COUNTA(FEMMINE7[Data 18]))</f>
        <v>0</v>
      </c>
      <c r="Y2" s="71"/>
      <c r="Z2" s="71"/>
      <c r="AA2" s="71">
        <f>IF(COUNTA(FEMMINE7[Data 18])=0,0,COUNTA(FEMMINE7[Data 18]))</f>
        <v>0</v>
      </c>
      <c r="AB2" s="69"/>
      <c r="AC2" s="69"/>
      <c r="AD2" s="69"/>
    </row>
    <row r="3" spans="1:36" ht="25.5" customHeight="1">
      <c r="A3" s="69"/>
      <c r="B3" s="272"/>
      <c r="C3" s="272"/>
      <c r="D3" s="272"/>
      <c r="E3" s="272"/>
      <c r="F3" s="72"/>
      <c r="G3" s="71">
        <f>IF(G2=0,0,1)</f>
        <v>1</v>
      </c>
      <c r="H3" s="71">
        <f>IF(H2=0,0,1)</f>
        <v>1</v>
      </c>
      <c r="I3" s="71">
        <f t="shared" ref="I3:X3" si="0">IF(I2=0,0,1)</f>
        <v>1</v>
      </c>
      <c r="J3" s="71">
        <f t="shared" si="0"/>
        <v>1</v>
      </c>
      <c r="K3" s="71">
        <f t="shared" si="0"/>
        <v>1</v>
      </c>
      <c r="L3" s="71">
        <f t="shared" si="0"/>
        <v>1</v>
      </c>
      <c r="M3" s="71">
        <f t="shared" si="0"/>
        <v>1</v>
      </c>
      <c r="N3" s="71">
        <f t="shared" si="0"/>
        <v>0</v>
      </c>
      <c r="O3" s="71">
        <f t="shared" si="0"/>
        <v>1</v>
      </c>
      <c r="P3" s="71">
        <f t="shared" si="0"/>
        <v>0</v>
      </c>
      <c r="Q3" s="71">
        <f t="shared" si="0"/>
        <v>0</v>
      </c>
      <c r="R3" s="71">
        <f t="shared" si="0"/>
        <v>0</v>
      </c>
      <c r="S3" s="71"/>
      <c r="T3" s="71"/>
      <c r="U3" s="71"/>
      <c r="V3" s="71"/>
      <c r="W3" s="71"/>
      <c r="X3" s="71">
        <f t="shared" si="0"/>
        <v>0</v>
      </c>
      <c r="Y3" s="71">
        <f>SUM(G3:X3)+AA3</f>
        <v>8</v>
      </c>
      <c r="Z3" s="71"/>
      <c r="AA3" s="71">
        <f t="shared" ref="AA3" si="1">IF(AA2=0,0,1)</f>
        <v>0</v>
      </c>
      <c r="AB3" s="69"/>
      <c r="AC3" s="69"/>
      <c r="AD3" s="69"/>
    </row>
    <row r="4" spans="1:36" ht="25.5" customHeight="1">
      <c r="A4" s="275" t="s">
        <v>123</v>
      </c>
      <c r="B4" s="276"/>
      <c r="C4" s="276"/>
      <c r="D4" s="276"/>
      <c r="E4" s="277"/>
      <c r="F4" s="73"/>
      <c r="G4" s="284" t="s">
        <v>58</v>
      </c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6"/>
    </row>
    <row r="5" spans="1:36" ht="25.5" customHeight="1">
      <c r="A5" s="278"/>
      <c r="B5" s="279"/>
      <c r="C5" s="279"/>
      <c r="D5" s="279"/>
      <c r="E5" s="280"/>
      <c r="F5" s="74"/>
      <c r="G5" s="287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9"/>
    </row>
    <row r="6" spans="1:36" ht="25.5" customHeight="1">
      <c r="A6" s="281"/>
      <c r="B6" s="282"/>
      <c r="C6" s="282"/>
      <c r="D6" s="282"/>
      <c r="E6" s="283"/>
      <c r="F6" s="69"/>
      <c r="G6" s="75" t="s">
        <v>59</v>
      </c>
      <c r="H6" s="75" t="s">
        <v>60</v>
      </c>
      <c r="I6" s="75" t="s">
        <v>61</v>
      </c>
      <c r="J6" s="75" t="s">
        <v>62</v>
      </c>
      <c r="K6" s="75" t="s">
        <v>63</v>
      </c>
      <c r="L6" s="75" t="s">
        <v>64</v>
      </c>
      <c r="M6" s="75" t="s">
        <v>65</v>
      </c>
      <c r="N6" s="75" t="s">
        <v>66</v>
      </c>
      <c r="O6" s="75" t="s">
        <v>67</v>
      </c>
      <c r="P6" s="75" t="s">
        <v>68</v>
      </c>
      <c r="Q6" s="75" t="s">
        <v>69</v>
      </c>
      <c r="R6" s="75" t="s">
        <v>70</v>
      </c>
      <c r="S6" s="75" t="s">
        <v>71</v>
      </c>
      <c r="T6" s="75" t="s">
        <v>72</v>
      </c>
      <c r="U6" s="75" t="s">
        <v>73</v>
      </c>
      <c r="V6" s="75" t="s">
        <v>74</v>
      </c>
      <c r="W6" s="75" t="s">
        <v>75</v>
      </c>
      <c r="X6" s="75" t="s">
        <v>76</v>
      </c>
      <c r="Y6" s="273"/>
      <c r="Z6" s="103"/>
      <c r="AA6" s="253" t="s">
        <v>16</v>
      </c>
      <c r="AB6" s="103"/>
      <c r="AC6" s="255" t="s">
        <v>17</v>
      </c>
      <c r="AD6" s="290" t="s">
        <v>18</v>
      </c>
      <c r="AE6" s="104"/>
      <c r="AF6" s="104"/>
      <c r="AG6" s="104"/>
      <c r="AH6" s="104"/>
      <c r="AI6" s="104"/>
      <c r="AJ6" s="104"/>
    </row>
    <row r="7" spans="1:36" s="65" customFormat="1" ht="25.5" customHeight="1">
      <c r="A7" s="69"/>
      <c r="B7" s="70"/>
      <c r="C7" s="70"/>
      <c r="D7" s="70"/>
      <c r="E7" s="69"/>
      <c r="F7" s="69"/>
      <c r="G7" s="76" t="s">
        <v>77</v>
      </c>
      <c r="H7" s="76" t="s">
        <v>78</v>
      </c>
      <c r="I7" s="76" t="s">
        <v>79</v>
      </c>
      <c r="J7" s="193" t="s">
        <v>106</v>
      </c>
      <c r="K7" s="76" t="s">
        <v>108</v>
      </c>
      <c r="L7" s="76" t="s">
        <v>108</v>
      </c>
      <c r="M7" s="76" t="s">
        <v>110</v>
      </c>
      <c r="N7" s="76" t="s">
        <v>206</v>
      </c>
      <c r="O7" s="76" t="s">
        <v>202</v>
      </c>
      <c r="P7" s="76" t="s">
        <v>80</v>
      </c>
      <c r="Q7" s="76" t="s">
        <v>81</v>
      </c>
      <c r="R7" s="76" t="s">
        <v>82</v>
      </c>
      <c r="S7" s="76" t="s">
        <v>83</v>
      </c>
      <c r="T7" s="77" t="s">
        <v>84</v>
      </c>
      <c r="U7" s="77" t="s">
        <v>85</v>
      </c>
      <c r="V7" s="77" t="s">
        <v>86</v>
      </c>
      <c r="W7" s="77" t="s">
        <v>87</v>
      </c>
      <c r="X7" s="77" t="s">
        <v>88</v>
      </c>
      <c r="Y7" s="274"/>
      <c r="Z7" s="105"/>
      <c r="AA7" s="254"/>
      <c r="AB7" s="105"/>
      <c r="AC7" s="255"/>
      <c r="AD7" s="290"/>
    </row>
    <row r="8" spans="1:36" ht="34.5" customHeight="1">
      <c r="A8" s="194" t="s">
        <v>20</v>
      </c>
      <c r="B8" s="194" t="s">
        <v>21</v>
      </c>
      <c r="C8" s="195" t="s">
        <v>22</v>
      </c>
      <c r="D8" s="195" t="s">
        <v>23</v>
      </c>
      <c r="E8" s="196" t="s">
        <v>24</v>
      </c>
      <c r="F8" s="195" t="s">
        <v>25</v>
      </c>
      <c r="G8" s="197" t="s">
        <v>89</v>
      </c>
      <c r="H8" s="197" t="s">
        <v>90</v>
      </c>
      <c r="I8" s="197" t="s">
        <v>91</v>
      </c>
      <c r="J8" s="197" t="s">
        <v>187</v>
      </c>
      <c r="K8" s="197" t="s">
        <v>196</v>
      </c>
      <c r="L8" s="197" t="s">
        <v>199</v>
      </c>
      <c r="M8" s="197" t="s">
        <v>200</v>
      </c>
      <c r="N8" s="197" t="s">
        <v>207</v>
      </c>
      <c r="O8" s="197" t="s">
        <v>205</v>
      </c>
      <c r="P8" s="197" t="s">
        <v>92</v>
      </c>
      <c r="Q8" s="197" t="s">
        <v>93</v>
      </c>
      <c r="R8" s="197" t="s">
        <v>94</v>
      </c>
      <c r="S8" s="197" t="s">
        <v>95</v>
      </c>
      <c r="T8" s="198" t="s">
        <v>96</v>
      </c>
      <c r="U8" s="198" t="s">
        <v>97</v>
      </c>
      <c r="V8" s="198" t="s">
        <v>98</v>
      </c>
      <c r="W8" s="198" t="s">
        <v>99</v>
      </c>
      <c r="X8" s="198" t="s">
        <v>100</v>
      </c>
      <c r="Y8" s="44" t="s">
        <v>39</v>
      </c>
      <c r="Z8" s="106" t="s">
        <v>40</v>
      </c>
      <c r="AA8" s="187" t="s">
        <v>41</v>
      </c>
      <c r="AB8" s="107" t="s">
        <v>42</v>
      </c>
      <c r="AC8" s="108" t="s">
        <v>43</v>
      </c>
      <c r="AD8" s="109" t="s">
        <v>44</v>
      </c>
      <c r="AE8" s="68"/>
    </row>
    <row r="9" spans="1:36" ht="34.5" customHeight="1">
      <c r="A9" s="78">
        <f>IF(A8="Elenco",1,A8+1)</f>
        <v>1</v>
      </c>
      <c r="B9" s="192" t="s">
        <v>125</v>
      </c>
      <c r="C9" s="79">
        <v>2010</v>
      </c>
      <c r="D9" s="79" t="s">
        <v>54</v>
      </c>
      <c r="E9" s="80">
        <f>IF(COUNTA(G9:X9,AA9)=0,"",COUNTA(G9:X9,AA9))</f>
        <v>7</v>
      </c>
      <c r="F9" s="81" t="s">
        <v>104</v>
      </c>
      <c r="G9" s="82">
        <v>1</v>
      </c>
      <c r="H9" s="82"/>
      <c r="I9" s="82">
        <v>4</v>
      </c>
      <c r="J9" s="82">
        <v>3</v>
      </c>
      <c r="K9" s="82">
        <v>7</v>
      </c>
      <c r="L9" s="82">
        <v>4</v>
      </c>
      <c r="M9" s="82">
        <v>1</v>
      </c>
      <c r="N9" s="82"/>
      <c r="O9" s="82">
        <v>2</v>
      </c>
      <c r="P9" s="82"/>
      <c r="Q9" s="82"/>
      <c r="R9" s="82"/>
      <c r="S9" s="82"/>
      <c r="T9" s="82"/>
      <c r="U9" s="82"/>
      <c r="V9" s="82"/>
      <c r="W9" s="82"/>
      <c r="X9" s="82"/>
      <c r="Y9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637</v>
      </c>
      <c r="Z9" s="111">
        <f>AVERAGE(FEMMINE7[[#This Row],[18-feb]:[Data 18]])</f>
        <v>3.1428571428571428</v>
      </c>
      <c r="AA9" s="112"/>
      <c r="AB9" s="113"/>
      <c r="AC9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637</v>
      </c>
      <c r="AD9" s="61">
        <f>IFERROR(IF(E9=0,"",AC9/E9),"")</f>
        <v>91</v>
      </c>
      <c r="AE9" s="68"/>
    </row>
    <row r="10" spans="1:36" ht="25.5" customHeight="1">
      <c r="A10" s="78">
        <f>IF(A9="Elenco",1,A9+1)</f>
        <v>2</v>
      </c>
      <c r="B10" s="192" t="s">
        <v>131</v>
      </c>
      <c r="C10" s="79">
        <v>2009</v>
      </c>
      <c r="D10" s="79" t="s">
        <v>54</v>
      </c>
      <c r="E10" s="80">
        <f>IF(COUNTA(G10:X10,AA10)=0,"",COUNTA(G10:X10,AA10))</f>
        <v>6</v>
      </c>
      <c r="F10" s="81" t="s">
        <v>106</v>
      </c>
      <c r="G10" s="82">
        <v>2</v>
      </c>
      <c r="H10" s="82"/>
      <c r="I10" s="82"/>
      <c r="J10" s="82">
        <v>1</v>
      </c>
      <c r="K10" s="82">
        <v>2</v>
      </c>
      <c r="L10" s="82">
        <v>1</v>
      </c>
      <c r="M10" s="82">
        <v>3</v>
      </c>
      <c r="N10" s="82"/>
      <c r="O10" s="82">
        <v>1</v>
      </c>
      <c r="P10" s="82"/>
      <c r="Q10" s="82"/>
      <c r="R10" s="82"/>
      <c r="S10" s="82"/>
      <c r="T10" s="82"/>
      <c r="U10" s="82"/>
      <c r="V10" s="82"/>
      <c r="W10" s="82"/>
      <c r="X10" s="82"/>
      <c r="Y10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620</v>
      </c>
      <c r="Z10" s="111">
        <f>AVERAGE(FEMMINE7[[#This Row],[18-feb]:[Data 18]])</f>
        <v>1.6666666666666667</v>
      </c>
      <c r="AA10" s="112"/>
      <c r="AB10" s="113"/>
      <c r="AC10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620</v>
      </c>
      <c r="AD10" s="61">
        <f>IFERROR(IF(E10=0,"",AC10/E10),"")</f>
        <v>103.33333333333333</v>
      </c>
      <c r="AE10" s="68"/>
    </row>
    <row r="11" spans="1:36" ht="25.5" customHeight="1">
      <c r="A11" s="78">
        <f>IF(A10="Elenco",1,A10+1)</f>
        <v>3</v>
      </c>
      <c r="B11" s="192" t="s">
        <v>124</v>
      </c>
      <c r="C11" s="79">
        <v>2007</v>
      </c>
      <c r="D11" s="79"/>
      <c r="E11" s="80">
        <f>IF(COUNTA(G11:X11,AA11)=0,"",COUNTA(G11:X11,AA11))</f>
        <v>7</v>
      </c>
      <c r="F11" s="81" t="s">
        <v>110</v>
      </c>
      <c r="G11" s="82">
        <v>3</v>
      </c>
      <c r="H11" s="82">
        <v>1</v>
      </c>
      <c r="I11" s="82">
        <v>2</v>
      </c>
      <c r="J11" s="82">
        <v>6</v>
      </c>
      <c r="K11" s="82">
        <v>9</v>
      </c>
      <c r="L11" s="82">
        <v>7</v>
      </c>
      <c r="M11" s="82">
        <v>2</v>
      </c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588</v>
      </c>
      <c r="Z11" s="111">
        <f>AVERAGE(FEMMINE7[[#This Row],[18-feb]:[Data 18]])</f>
        <v>4.2857142857142856</v>
      </c>
      <c r="AA11" s="112"/>
      <c r="AB11" s="113"/>
      <c r="AC11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588</v>
      </c>
      <c r="AD11" s="61">
        <f>IFERROR(IF(E11=0,"",AC11/E11),"")</f>
        <v>84</v>
      </c>
      <c r="AE11" s="68"/>
    </row>
    <row r="12" spans="1:36" ht="25.5" customHeight="1">
      <c r="A12" s="78">
        <f>IF(A11="Elenco",1,A11+1)</f>
        <v>4</v>
      </c>
      <c r="B12" s="192" t="s">
        <v>126</v>
      </c>
      <c r="C12" s="79">
        <v>2011</v>
      </c>
      <c r="D12" s="79" t="s">
        <v>54</v>
      </c>
      <c r="E12" s="80">
        <f>IF(COUNTA(G12:X12,AA12)=0,"",COUNTA(G12:X12,AA12))</f>
        <v>5</v>
      </c>
      <c r="F12" s="81" t="s">
        <v>110</v>
      </c>
      <c r="G12" s="82">
        <v>4</v>
      </c>
      <c r="H12" s="82"/>
      <c r="I12" s="82">
        <v>3</v>
      </c>
      <c r="J12" s="82">
        <v>4</v>
      </c>
      <c r="K12" s="82">
        <v>6</v>
      </c>
      <c r="L12" s="82">
        <v>3</v>
      </c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400</v>
      </c>
      <c r="Z12" s="111">
        <f>AVERAGE(FEMMINE7[[#This Row],[18-feb]:[Data 18]])</f>
        <v>4</v>
      </c>
      <c r="AA12" s="112"/>
      <c r="AB12" s="113"/>
      <c r="AC12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400</v>
      </c>
      <c r="AD12" s="61">
        <f>IFERROR(IF(E12=0,"",AC12/E12),"")</f>
        <v>80</v>
      </c>
      <c r="AE12" s="68"/>
    </row>
    <row r="13" spans="1:36" ht="25.5" customHeight="1">
      <c r="A13" s="78">
        <f>IF(A12="Elenco",1,A12+1)</f>
        <v>5</v>
      </c>
      <c r="B13" s="192" t="s">
        <v>129</v>
      </c>
      <c r="C13" s="79">
        <v>2008</v>
      </c>
      <c r="D13" s="79" t="s">
        <v>130</v>
      </c>
      <c r="E13" s="80">
        <f>IF(COUNTA(G13:X13,AA13)=0,"",COUNTA(G13:X13,AA13))</f>
        <v>4</v>
      </c>
      <c r="F13" s="81" t="s">
        <v>106</v>
      </c>
      <c r="G13" s="82"/>
      <c r="H13" s="82"/>
      <c r="I13" s="82">
        <v>1</v>
      </c>
      <c r="J13" s="82">
        <v>2</v>
      </c>
      <c r="K13" s="82">
        <v>3</v>
      </c>
      <c r="L13" s="82">
        <v>2</v>
      </c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390</v>
      </c>
      <c r="Z13" s="111">
        <f>AVERAGE(FEMMINE7[[#This Row],[18-feb]:[Data 18]])</f>
        <v>2</v>
      </c>
      <c r="AA13" s="112"/>
      <c r="AB13" s="113"/>
      <c r="AC13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390</v>
      </c>
      <c r="AD13" s="61">
        <f>IFERROR(IF(E13=0,"",AC13/E13),"")</f>
        <v>97.5</v>
      </c>
      <c r="AE13" s="68"/>
    </row>
    <row r="14" spans="1:36" ht="25.5" customHeight="1">
      <c r="A14" s="78">
        <f>IF(A13="Elenco",1,A13+1)</f>
        <v>6</v>
      </c>
      <c r="B14" s="192" t="s">
        <v>132</v>
      </c>
      <c r="C14" s="79">
        <v>2011</v>
      </c>
      <c r="D14" s="79" t="s">
        <v>54</v>
      </c>
      <c r="E14" s="80">
        <f>IF(COUNTA(G14:X14,AA14)=0,"",COUNTA(G14:X14,AA14))</f>
        <v>5</v>
      </c>
      <c r="F14" s="81" t="s">
        <v>133</v>
      </c>
      <c r="G14" s="82">
        <v>5</v>
      </c>
      <c r="H14" s="82"/>
      <c r="I14" s="82"/>
      <c r="J14" s="82">
        <v>4</v>
      </c>
      <c r="K14" s="82">
        <v>8</v>
      </c>
      <c r="L14" s="82">
        <v>5</v>
      </c>
      <c r="M14" s="82"/>
      <c r="N14" s="82"/>
      <c r="O14" s="82">
        <v>2</v>
      </c>
      <c r="P14" s="82"/>
      <c r="Q14" s="82"/>
      <c r="R14" s="82"/>
      <c r="S14" s="82"/>
      <c r="T14" s="82"/>
      <c r="U14" s="82"/>
      <c r="V14" s="82"/>
      <c r="W14" s="82"/>
      <c r="X14" s="82"/>
      <c r="Y14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389</v>
      </c>
      <c r="Z14" s="111">
        <f>AVERAGE(FEMMINE7[[#This Row],[18-feb]:[Data 18]])</f>
        <v>4.8</v>
      </c>
      <c r="AA14" s="112"/>
      <c r="AB14" s="113"/>
      <c r="AC14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389</v>
      </c>
      <c r="AD14" s="61">
        <f>IFERROR(IF(E14=0,"",AC14/E14),"")</f>
        <v>77.8</v>
      </c>
      <c r="AE14" s="68"/>
    </row>
    <row r="15" spans="1:36" ht="25.5" customHeight="1">
      <c r="A15" s="78">
        <f>IF(A14="Elenco",1,A14+1)</f>
        <v>7</v>
      </c>
      <c r="B15" s="192" t="s">
        <v>127</v>
      </c>
      <c r="C15" s="79">
        <v>2010</v>
      </c>
      <c r="D15" s="79"/>
      <c r="E15" s="80">
        <f>IF(COUNTA(G15:X15,AA15)=0,"",COUNTA(G15:X15,AA15))</f>
        <v>5</v>
      </c>
      <c r="F15" s="81" t="s">
        <v>108</v>
      </c>
      <c r="G15" s="82">
        <v>6</v>
      </c>
      <c r="H15" s="82">
        <v>2</v>
      </c>
      <c r="I15" s="82"/>
      <c r="J15" s="82"/>
      <c r="K15" s="82">
        <v>13</v>
      </c>
      <c r="L15" s="82">
        <v>6</v>
      </c>
      <c r="M15" s="82">
        <v>5</v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359</v>
      </c>
      <c r="Z15" s="111">
        <f>AVERAGE(FEMMINE7[[#This Row],[18-feb]:[Data 18]])</f>
        <v>6.4</v>
      </c>
      <c r="AA15" s="112"/>
      <c r="AB15" s="113"/>
      <c r="AC15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359</v>
      </c>
      <c r="AD15" s="61">
        <f>IFERROR(IF(E15=0,"",AC15/E15),"")</f>
        <v>71.8</v>
      </c>
      <c r="AE15" s="68"/>
    </row>
    <row r="16" spans="1:36" ht="25.5" customHeight="1">
      <c r="A16" s="303">
        <v>9</v>
      </c>
      <c r="B16" s="312" t="s">
        <v>197</v>
      </c>
      <c r="C16" s="314">
        <v>2012</v>
      </c>
      <c r="D16" s="314" t="s">
        <v>48</v>
      </c>
      <c r="E16" s="317">
        <f>IF(COUNTA(G16:X16,AA16)=0,"",COUNTA(G16:X16,AA16))</f>
        <v>4</v>
      </c>
      <c r="F16" s="304" t="s">
        <v>104</v>
      </c>
      <c r="G16" s="305"/>
      <c r="H16" s="305"/>
      <c r="I16" s="305"/>
      <c r="J16" s="305"/>
      <c r="K16" s="305">
        <v>16</v>
      </c>
      <c r="L16" s="305">
        <v>9</v>
      </c>
      <c r="M16" s="305">
        <v>4</v>
      </c>
      <c r="N16" s="305"/>
      <c r="O16" s="305">
        <v>4</v>
      </c>
      <c r="P16" s="305"/>
      <c r="Q16" s="305"/>
      <c r="R16" s="305"/>
      <c r="S16" s="305"/>
      <c r="T16" s="305"/>
      <c r="U16" s="305"/>
      <c r="V16" s="305"/>
      <c r="W16" s="305"/>
      <c r="X16" s="305"/>
      <c r="Y16" s="306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264</v>
      </c>
      <c r="Z16" s="307">
        <f>AVERAGE(FEMMINE7[[#This Row],[18-feb]:[Data 18]])</f>
        <v>8.25</v>
      </c>
      <c r="AA16" s="308"/>
      <c r="AB16" s="309"/>
      <c r="AC16" s="310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264</v>
      </c>
      <c r="AD16" s="319">
        <f>IFERROR(IF(E16=0,"",AC16/E16),"")</f>
        <v>66</v>
      </c>
      <c r="AE16" s="68"/>
    </row>
    <row r="17" spans="1:30" ht="25.5" customHeight="1">
      <c r="A17" s="311">
        <f>IF(A16="Elenco",1,A16+1)</f>
        <v>10</v>
      </c>
      <c r="B17" s="313" t="s">
        <v>128</v>
      </c>
      <c r="C17" s="315">
        <v>2011</v>
      </c>
      <c r="D17" s="316" t="s">
        <v>48</v>
      </c>
      <c r="E17" s="204">
        <f>IF(COUNTA(G17:X17,AA17)=0,"",COUNTA(G17:X17,AA17))</f>
        <v>4</v>
      </c>
      <c r="F17" s="318" t="s">
        <v>108</v>
      </c>
      <c r="G17" s="164">
        <v>7</v>
      </c>
      <c r="H17" s="164"/>
      <c r="I17" s="164">
        <v>6</v>
      </c>
      <c r="J17" s="164"/>
      <c r="K17" s="164">
        <v>14</v>
      </c>
      <c r="L17" s="164">
        <v>8</v>
      </c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9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248</v>
      </c>
      <c r="Z17" s="170">
        <f>AVERAGE(FEMMINE7[[#This Row],[18-feb]:[Data 18]])</f>
        <v>8.75</v>
      </c>
      <c r="AA17" s="171"/>
      <c r="AB17" s="172"/>
      <c r="AC17" s="173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248</v>
      </c>
      <c r="AD17" s="174">
        <f>IFERROR(IF(E17=0,"",AC17/E17),"")</f>
        <v>62</v>
      </c>
    </row>
    <row r="18" spans="1:30" ht="25.5" customHeight="1">
      <c r="A18" s="233">
        <v>10</v>
      </c>
      <c r="B18" s="234" t="s">
        <v>198</v>
      </c>
      <c r="C18" s="235">
        <v>2011</v>
      </c>
      <c r="D18" s="236"/>
      <c r="E18" s="220">
        <f>IF(COUNTA(G18:X18,AA18)=0,"",COUNTA(G18:X18,AA18))</f>
        <v>1</v>
      </c>
      <c r="F18" s="237" t="s">
        <v>108</v>
      </c>
      <c r="G18" s="225"/>
      <c r="H18" s="225"/>
      <c r="I18" s="225"/>
      <c r="J18" s="225"/>
      <c r="K18" s="225"/>
      <c r="L18" s="225">
        <v>11</v>
      </c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7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55</v>
      </c>
      <c r="Z18" s="238">
        <f>AVERAGE(FEMMINE7[[#This Row],[18-feb]:[Data 18]])</f>
        <v>11</v>
      </c>
      <c r="AA18" s="229"/>
      <c r="AB18" s="230"/>
      <c r="AC18" s="231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55</v>
      </c>
      <c r="AD18" s="232">
        <f>IFERROR(IF(E18=0,"",AC18/E18),"")</f>
        <v>55</v>
      </c>
    </row>
    <row r="19" spans="1:30" ht="25.5" customHeight="1">
      <c r="A19" s="83"/>
      <c r="B19" s="84"/>
      <c r="F19" s="85"/>
    </row>
    <row r="20" spans="1:30" ht="25.5" customHeight="1">
      <c r="A20" s="83"/>
      <c r="B20" s="84"/>
      <c r="F20" s="85"/>
    </row>
    <row r="21" spans="1:30" ht="25.5" customHeight="1">
      <c r="A21" s="83"/>
      <c r="F21" s="86"/>
      <c r="G21" s="23"/>
      <c r="H21" s="23"/>
      <c r="I21" s="23"/>
      <c r="J21" s="23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23"/>
      <c r="Y21" s="115"/>
    </row>
    <row r="22" spans="1:30" ht="25.5" customHeight="1">
      <c r="A22" s="83"/>
      <c r="F22" s="86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AA22" s="87"/>
    </row>
    <row r="23" spans="1:30" ht="25.5" customHeight="1">
      <c r="A23" s="83"/>
      <c r="F23" s="86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AA23" s="87"/>
    </row>
    <row r="24" spans="1:30" ht="25.5" customHeight="1">
      <c r="A24" s="83"/>
      <c r="F24" s="86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115"/>
      <c r="AA24" s="102"/>
    </row>
    <row r="25" spans="1:30" ht="25.5" customHeight="1">
      <c r="A25" s="83"/>
      <c r="AA25" s="23"/>
    </row>
    <row r="26" spans="1:30" ht="25.5" customHeight="1">
      <c r="A26" s="83"/>
    </row>
    <row r="27" spans="1:30" ht="25.5" customHeight="1">
      <c r="A27" s="83"/>
      <c r="B27" s="88"/>
      <c r="E27" s="89"/>
      <c r="F27" s="90"/>
    </row>
    <row r="28" spans="1:30" ht="25.5" customHeight="1">
      <c r="A28" s="83"/>
      <c r="B28" s="91"/>
      <c r="C28" s="92"/>
      <c r="D28" s="92"/>
      <c r="E28" s="93"/>
      <c r="F28" s="94"/>
    </row>
    <row r="29" spans="1:30" ht="25.5" customHeight="1">
      <c r="A29" s="83"/>
      <c r="B29" s="95"/>
      <c r="C29" s="96"/>
      <c r="D29" s="96"/>
      <c r="E29" s="97"/>
      <c r="F29" s="98"/>
    </row>
    <row r="30" spans="1:30" ht="25.5" customHeight="1">
      <c r="A30" s="83"/>
    </row>
    <row r="31" spans="1:30" ht="25.5" customHeight="1">
      <c r="A31" s="83"/>
    </row>
    <row r="32" spans="1:30" ht="25.5" customHeight="1">
      <c r="A32" s="83"/>
    </row>
    <row r="33" spans="1:6" ht="25.5" customHeight="1">
      <c r="A33" s="83"/>
    </row>
    <row r="34" spans="1:6" ht="25.5" customHeight="1">
      <c r="A34" s="99"/>
      <c r="B34" s="95"/>
      <c r="E34" s="100"/>
      <c r="F34" s="101"/>
    </row>
    <row r="35" spans="1:6" ht="25.5" customHeight="1">
      <c r="A35" s="99"/>
      <c r="B35" s="95"/>
      <c r="E35" s="100"/>
      <c r="F35" s="101"/>
    </row>
    <row r="36" spans="1:6" ht="25.5" customHeight="1">
      <c r="A36" s="99"/>
      <c r="B36" s="95"/>
      <c r="E36" s="100"/>
      <c r="F36" s="101"/>
    </row>
    <row r="37" spans="1:6" ht="25.5" customHeight="1">
      <c r="A37" s="99"/>
      <c r="B37" s="95"/>
      <c r="E37" s="100"/>
      <c r="F37" s="101"/>
    </row>
    <row r="38" spans="1:6" ht="25.5" customHeight="1">
      <c r="A38" s="99"/>
      <c r="B38" s="95"/>
      <c r="E38" s="100"/>
      <c r="F38" s="101"/>
    </row>
    <row r="39" spans="1:6" ht="25.5" customHeight="1">
      <c r="A39" s="99"/>
      <c r="B39" s="95"/>
      <c r="E39" s="100"/>
      <c r="F39" s="101"/>
    </row>
    <row r="40" spans="1:6" ht="25.5" customHeight="1">
      <c r="A40" s="99"/>
      <c r="B40" s="95"/>
      <c r="E40" s="100"/>
      <c r="F40" s="101"/>
    </row>
    <row r="41" spans="1:6" ht="25.5" customHeight="1">
      <c r="A41" s="99"/>
      <c r="B41" s="95"/>
      <c r="E41" s="100"/>
      <c r="F41" s="101"/>
    </row>
    <row r="42" spans="1:6" ht="25.5" customHeight="1">
      <c r="A42" s="99"/>
      <c r="B42" s="95"/>
      <c r="E42" s="100"/>
      <c r="F42" s="101"/>
    </row>
    <row r="43" spans="1:6" ht="25.5" customHeight="1">
      <c r="A43" s="99"/>
      <c r="B43" s="95"/>
      <c r="E43" s="100"/>
      <c r="F43" s="101"/>
    </row>
    <row r="44" spans="1:6" ht="25.5" customHeight="1">
      <c r="A44" s="99"/>
      <c r="B44" s="95"/>
      <c r="E44" s="100"/>
      <c r="F44" s="101"/>
    </row>
    <row r="45" spans="1:6" ht="25.5" customHeight="1">
      <c r="A45" s="99"/>
      <c r="B45" s="95"/>
      <c r="E45" s="100"/>
      <c r="F45" s="101"/>
    </row>
    <row r="46" spans="1:6" ht="25.5" customHeight="1">
      <c r="A46" s="99"/>
      <c r="B46" s="95"/>
      <c r="E46" s="100"/>
      <c r="F46" s="101"/>
    </row>
    <row r="47" spans="1:6" ht="25.5" customHeight="1">
      <c r="A47" s="99"/>
      <c r="B47" s="95"/>
      <c r="E47" s="100"/>
      <c r="F47" s="101"/>
    </row>
    <row r="48" spans="1:6" ht="25.5" customHeight="1">
      <c r="A48" s="99"/>
      <c r="B48" s="95"/>
      <c r="E48" s="100"/>
      <c r="F48" s="101"/>
    </row>
    <row r="49" spans="1:6" ht="25.5" customHeight="1">
      <c r="A49" s="99"/>
      <c r="B49" s="95"/>
      <c r="E49" s="100"/>
      <c r="F49" s="101"/>
    </row>
    <row r="50" spans="1:6" ht="25.5" customHeight="1">
      <c r="A50" s="99"/>
      <c r="B50" s="95"/>
      <c r="E50" s="100"/>
      <c r="F50" s="101"/>
    </row>
    <row r="51" spans="1:6" ht="25.5" customHeight="1">
      <c r="A51" s="99"/>
      <c r="B51" s="95"/>
      <c r="E51" s="100"/>
      <c r="F51" s="101"/>
    </row>
    <row r="52" spans="1:6" ht="25.5" customHeight="1">
      <c r="A52" s="99"/>
      <c r="B52" s="95"/>
      <c r="E52" s="100"/>
      <c r="F52" s="101"/>
    </row>
    <row r="53" spans="1:6" ht="25.5" customHeight="1">
      <c r="A53" s="99"/>
      <c r="B53" s="95"/>
      <c r="E53" s="100"/>
      <c r="F53" s="101"/>
    </row>
    <row r="54" spans="1:6" ht="25.5" customHeight="1">
      <c r="A54" s="99"/>
      <c r="B54" s="95"/>
      <c r="E54" s="100"/>
      <c r="F54" s="101"/>
    </row>
    <row r="55" spans="1:6" ht="25.5" customHeight="1">
      <c r="A55" s="99"/>
      <c r="B55" s="95"/>
      <c r="E55" s="100"/>
      <c r="F55" s="101"/>
    </row>
    <row r="56" spans="1:6" ht="25.5" customHeight="1">
      <c r="A56" s="99"/>
      <c r="B56" s="95"/>
      <c r="E56" s="100"/>
      <c r="F56" s="101"/>
    </row>
    <row r="57" spans="1:6" ht="25.5" customHeight="1">
      <c r="A57" s="99"/>
      <c r="B57" s="95"/>
      <c r="E57" s="100"/>
      <c r="F57" s="101"/>
    </row>
    <row r="58" spans="1:6" ht="25.5" customHeight="1">
      <c r="A58" s="99"/>
      <c r="B58" s="95"/>
      <c r="E58" s="100"/>
      <c r="F58" s="101"/>
    </row>
    <row r="59" spans="1:6" ht="25.5" customHeight="1">
      <c r="A59" s="99"/>
      <c r="B59" s="95"/>
      <c r="E59" s="100"/>
      <c r="F59" s="101"/>
    </row>
    <row r="60" spans="1:6" ht="25.5" customHeight="1">
      <c r="A60" s="99"/>
      <c r="B60" s="95"/>
      <c r="E60" s="100"/>
      <c r="F60" s="101"/>
    </row>
    <row r="61" spans="1:6" ht="25.5" customHeight="1">
      <c r="A61" s="99"/>
      <c r="B61" s="95"/>
      <c r="E61" s="100"/>
      <c r="F61" s="101"/>
    </row>
    <row r="62" spans="1:6" ht="25.5" customHeight="1">
      <c r="A62" s="99"/>
      <c r="B62" s="95"/>
      <c r="E62" s="100"/>
      <c r="F62" s="101"/>
    </row>
    <row r="63" spans="1:6" ht="25.5" customHeight="1">
      <c r="A63" s="99"/>
      <c r="B63" s="95"/>
      <c r="E63" s="100"/>
      <c r="F63" s="101"/>
    </row>
    <row r="64" spans="1:6" ht="25.5" customHeight="1">
      <c r="A64" s="99"/>
      <c r="B64" s="95"/>
      <c r="E64" s="100"/>
      <c r="F64" s="101"/>
    </row>
    <row r="65" spans="1:6" ht="25.5" customHeight="1">
      <c r="A65" s="99"/>
      <c r="B65" s="95"/>
      <c r="E65" s="100"/>
      <c r="F65" s="101"/>
    </row>
    <row r="66" spans="1:6" ht="25.5" customHeight="1">
      <c r="A66" s="99"/>
      <c r="B66" s="95"/>
      <c r="E66" s="100"/>
      <c r="F66" s="101"/>
    </row>
    <row r="67" spans="1:6" ht="25.5" customHeight="1">
      <c r="A67" s="99"/>
      <c r="B67" s="95"/>
      <c r="E67" s="100"/>
      <c r="F67" s="101"/>
    </row>
    <row r="68" spans="1:6" ht="25.5" customHeight="1">
      <c r="A68" s="99"/>
      <c r="B68" s="95"/>
      <c r="E68" s="100"/>
      <c r="F68" s="101"/>
    </row>
    <row r="69" spans="1:6" ht="25.5" customHeight="1">
      <c r="A69" s="99"/>
      <c r="B69" s="95"/>
      <c r="E69" s="100"/>
      <c r="F69" s="101"/>
    </row>
    <row r="70" spans="1:6" ht="25.5" customHeight="1">
      <c r="A70" s="99"/>
      <c r="B70" s="95"/>
      <c r="E70" s="100"/>
      <c r="F70" s="101"/>
    </row>
    <row r="71" spans="1:6" ht="25.5" customHeight="1">
      <c r="A71" s="99"/>
      <c r="B71" s="95"/>
      <c r="E71" s="100"/>
      <c r="F71" s="101"/>
    </row>
    <row r="72" spans="1:6" ht="25.5" customHeight="1">
      <c r="A72" s="99"/>
      <c r="B72" s="95"/>
      <c r="E72" s="100"/>
      <c r="F72" s="101"/>
    </row>
    <row r="73" spans="1:6" ht="25.5" customHeight="1">
      <c r="A73" s="99"/>
      <c r="B73" s="95"/>
      <c r="E73" s="100"/>
      <c r="F73" s="101"/>
    </row>
    <row r="74" spans="1:6" ht="25.5" customHeight="1">
      <c r="A74" s="99"/>
      <c r="B74" s="95"/>
      <c r="E74" s="100"/>
      <c r="F74" s="101"/>
    </row>
    <row r="75" spans="1:6" ht="25.5" customHeight="1">
      <c r="A75" s="99"/>
      <c r="B75" s="95"/>
      <c r="E75" s="100"/>
      <c r="F75" s="101"/>
    </row>
    <row r="76" spans="1:6" ht="25.5" customHeight="1">
      <c r="A76" s="99"/>
      <c r="B76" s="95"/>
      <c r="E76" s="100"/>
      <c r="F76" s="101"/>
    </row>
    <row r="77" spans="1:6" ht="25.5" customHeight="1">
      <c r="A77" s="99"/>
      <c r="B77" s="95"/>
      <c r="E77" s="100"/>
      <c r="F77" s="101"/>
    </row>
    <row r="78" spans="1:6" ht="25.5" customHeight="1">
      <c r="A78" s="99"/>
      <c r="B78" s="95"/>
      <c r="E78" s="100"/>
      <c r="F78" s="101"/>
    </row>
    <row r="79" spans="1:6" ht="25.5" customHeight="1">
      <c r="A79" s="99"/>
      <c r="B79" s="95"/>
      <c r="E79" s="100"/>
      <c r="F79" s="101"/>
    </row>
    <row r="80" spans="1:6" ht="25.5" customHeight="1">
      <c r="A80" s="99"/>
      <c r="B80" s="95"/>
      <c r="E80" s="100"/>
      <c r="F80" s="101"/>
    </row>
    <row r="81" spans="1:6" ht="25.5" customHeight="1">
      <c r="A81" s="99"/>
      <c r="B81" s="95"/>
      <c r="E81" s="100"/>
      <c r="F81" s="101"/>
    </row>
    <row r="82" spans="1:6" ht="25.5" customHeight="1">
      <c r="A82" s="99"/>
      <c r="B82" s="95"/>
      <c r="E82" s="100"/>
      <c r="F82" s="101"/>
    </row>
    <row r="83" spans="1:6" ht="25.5" customHeight="1">
      <c r="A83" s="99"/>
      <c r="B83" s="95"/>
      <c r="E83" s="100"/>
      <c r="F83" s="101"/>
    </row>
    <row r="84" spans="1:6" ht="25.5" customHeight="1">
      <c r="A84" s="99"/>
      <c r="B84" s="95"/>
      <c r="E84" s="100"/>
      <c r="F84" s="101"/>
    </row>
    <row r="85" spans="1:6" ht="25.5" customHeight="1">
      <c r="A85" s="99"/>
      <c r="B85" s="95"/>
      <c r="E85" s="100"/>
      <c r="F85" s="101"/>
    </row>
    <row r="86" spans="1:6" ht="25.5" customHeight="1">
      <c r="A86" s="99"/>
      <c r="B86" s="95"/>
      <c r="E86" s="100"/>
      <c r="F86" s="101"/>
    </row>
    <row r="87" spans="1:6" ht="25.5" customHeight="1">
      <c r="A87" s="99"/>
      <c r="B87" s="95"/>
      <c r="E87" s="100"/>
      <c r="F87" s="101"/>
    </row>
    <row r="88" spans="1:6" ht="25.5" customHeight="1">
      <c r="A88" s="99"/>
      <c r="B88" s="95"/>
      <c r="E88" s="100"/>
      <c r="F88" s="101"/>
    </row>
    <row r="89" spans="1:6" ht="25.5" customHeight="1">
      <c r="A89" s="99"/>
      <c r="B89" s="95"/>
      <c r="E89" s="100"/>
      <c r="F89" s="101"/>
    </row>
    <row r="90" spans="1:6" ht="25.5" customHeight="1">
      <c r="A90" s="99"/>
      <c r="B90" s="95"/>
      <c r="E90" s="100"/>
      <c r="F90" s="101"/>
    </row>
    <row r="91" spans="1:6" ht="25.5" customHeight="1">
      <c r="B91" s="116"/>
      <c r="C91" s="93"/>
      <c r="D91" s="93"/>
      <c r="E91" s="100"/>
      <c r="F91" s="85"/>
    </row>
    <row r="92" spans="1:6" ht="25.5" customHeight="1">
      <c r="B92" s="116"/>
      <c r="C92" s="93"/>
      <c r="D92" s="93"/>
      <c r="E92" s="100"/>
      <c r="F92" s="85"/>
    </row>
    <row r="93" spans="1:6" ht="25.5" customHeight="1">
      <c r="B93" s="117"/>
      <c r="C93" s="93"/>
      <c r="D93" s="93"/>
      <c r="E93" s="100"/>
      <c r="F93" s="85"/>
    </row>
    <row r="94" spans="1:6" ht="25.5" customHeight="1">
      <c r="B94" s="116"/>
      <c r="C94" s="93"/>
      <c r="D94" s="93"/>
      <c r="E94" s="100"/>
      <c r="F94" s="85"/>
    </row>
    <row r="95" spans="1:6" ht="25.5" customHeight="1">
      <c r="B95" s="116"/>
      <c r="C95" s="93"/>
      <c r="D95" s="93"/>
      <c r="E95" s="100"/>
      <c r="F95" s="85"/>
    </row>
    <row r="96" spans="1:6" ht="25.5" customHeight="1">
      <c r="B96" s="117"/>
      <c r="C96" s="93"/>
      <c r="D96" s="93"/>
      <c r="E96" s="100"/>
      <c r="F96" s="85"/>
    </row>
    <row r="97" spans="2:6" ht="25.5" customHeight="1">
      <c r="B97" s="116"/>
      <c r="C97" s="93"/>
      <c r="D97" s="93"/>
      <c r="E97" s="100"/>
      <c r="F97" s="85"/>
    </row>
    <row r="98" spans="2:6" ht="25.5" customHeight="1">
      <c r="B98" s="116"/>
      <c r="C98" s="93"/>
      <c r="D98" s="93"/>
      <c r="E98" s="100"/>
      <c r="F98" s="85"/>
    </row>
    <row r="99" spans="2:6" ht="25.5" customHeight="1">
      <c r="B99" s="116"/>
      <c r="C99" s="93"/>
      <c r="D99" s="93"/>
      <c r="E99" s="100"/>
      <c r="F99" s="85"/>
    </row>
    <row r="100" spans="2:6" ht="25.5" customHeight="1">
      <c r="B100" s="116"/>
      <c r="C100" s="93"/>
      <c r="D100" s="93"/>
      <c r="E100" s="100"/>
      <c r="F100" s="85"/>
    </row>
    <row r="101" spans="2:6" ht="25.5" customHeight="1">
      <c r="B101" s="116"/>
      <c r="C101" s="93"/>
      <c r="D101" s="93"/>
      <c r="E101" s="100"/>
      <c r="F101" s="85"/>
    </row>
  </sheetData>
  <mergeCells count="8">
    <mergeCell ref="A1:AD1"/>
    <mergeCell ref="B3:E3"/>
    <mergeCell ref="Y6:Y7"/>
    <mergeCell ref="AA6:AA7"/>
    <mergeCell ref="AC6:AC7"/>
    <mergeCell ref="AD6:AD7"/>
    <mergeCell ref="A4:E6"/>
    <mergeCell ref="G4:AD5"/>
  </mergeCells>
  <conditionalFormatting sqref="G9:X18">
    <cfRule type="containsBlanks" dxfId="0" priority="1">
      <formula>LEN(TRIM(G9))=0</formula>
    </cfRule>
  </conditionalFormatting>
  <dataValidations count="1">
    <dataValidation type="list" allowBlank="1" showInputMessage="1" showErrorMessage="1" sqref="D9:D18">
      <formula1>CATEGORIA</formula1>
    </dataValidation>
  </dataValidations>
  <pageMargins left="0.7" right="0.7" top="0.75" bottom="0.75" header="0.3" footer="0.3"/>
  <pageSetup paperSize="9" scale="130" orientation="portrait" r:id="rId1"/>
  <ignoredErrors>
    <ignoredError sqref="K8" twoDigitTextYear="1"/>
  </ignoredError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/>
  </sheetViews>
  <sheetFormatPr defaultColWidth="23.85546875" defaultRowHeight="15"/>
  <cols>
    <col min="4" max="4" width="27.7109375" customWidth="1"/>
  </cols>
  <sheetData>
    <row r="1" spans="1:14" ht="31.5">
      <c r="A1" s="40" t="s">
        <v>20</v>
      </c>
      <c r="B1" s="41" t="s">
        <v>21</v>
      </c>
      <c r="C1" s="42" t="s">
        <v>22</v>
      </c>
      <c r="D1" s="42" t="s">
        <v>23</v>
      </c>
      <c r="E1" s="43" t="s">
        <v>134</v>
      </c>
      <c r="F1" s="40" t="s">
        <v>25</v>
      </c>
      <c r="G1" s="190" t="s">
        <v>26</v>
      </c>
      <c r="H1" s="44" t="s">
        <v>39</v>
      </c>
      <c r="I1" s="191" t="s">
        <v>16</v>
      </c>
      <c r="J1" s="57" t="s">
        <v>39</v>
      </c>
      <c r="K1" s="58" t="s">
        <v>44</v>
      </c>
      <c r="M1" s="291" t="s">
        <v>135</v>
      </c>
      <c r="N1" s="292"/>
    </row>
    <row r="2" spans="1:14" ht="18.75">
      <c r="A2" s="45">
        <v>1</v>
      </c>
      <c r="B2" s="46" t="s">
        <v>136</v>
      </c>
      <c r="C2" s="47">
        <v>2004</v>
      </c>
      <c r="D2" s="47" t="s">
        <v>48</v>
      </c>
      <c r="E2" s="48" t="s">
        <v>137</v>
      </c>
      <c r="F2" s="49" t="s">
        <v>138</v>
      </c>
      <c r="G2" s="50">
        <v>1</v>
      </c>
      <c r="H2" s="51">
        <v>100</v>
      </c>
      <c r="I2" s="59"/>
      <c r="J2" s="60" t="str">
        <f>IFERROR(IF(FEMMINE[[#This Row],[TOTALE]]+(IF(FEMMINE[[#This Row],[ DATA    ]]="",0,LOOKUP(FEMMINE[[#This Row],[ DATA    ]],Tabella4[1],Tabella4[100])))=0,"",(FEMMINE[[#This Row],[TOTALE]]+(IF(FEMMINE[[#This Row],[ DATA    ]]="",0,LOOKUP(FEMMINE[[#This Row],[ DATA    ]],Tabella4[1],Tabella4[100]))))),"")</f>
        <v/>
      </c>
      <c r="K2" s="61" t="str">
        <f>IFERROR(IF(E2=0,"",J2/E2),"")</f>
        <v/>
      </c>
      <c r="M2" s="293"/>
      <c r="N2" s="293"/>
    </row>
    <row r="3" spans="1:14">
      <c r="M3" s="293"/>
      <c r="N3" s="293"/>
    </row>
    <row r="5" spans="1:14">
      <c r="A5" s="52" t="s">
        <v>139</v>
      </c>
      <c r="B5" s="53" t="s">
        <v>140</v>
      </c>
      <c r="C5" s="53" t="s">
        <v>140</v>
      </c>
      <c r="D5" s="53" t="s">
        <v>141</v>
      </c>
      <c r="E5" s="54" t="s">
        <v>142</v>
      </c>
      <c r="F5" s="53" t="s">
        <v>143</v>
      </c>
      <c r="G5" s="55" t="s">
        <v>144</v>
      </c>
      <c r="H5" s="54" t="s">
        <v>139</v>
      </c>
      <c r="I5" s="55" t="s">
        <v>144</v>
      </c>
      <c r="J5" s="54" t="s">
        <v>139</v>
      </c>
      <c r="M5" s="23" t="s">
        <v>145</v>
      </c>
      <c r="N5" s="23" t="s">
        <v>146</v>
      </c>
    </row>
    <row r="6" spans="1:14">
      <c r="A6" s="52" t="s">
        <v>147</v>
      </c>
      <c r="B6" s="53" t="s">
        <v>148</v>
      </c>
      <c r="C6" s="53" t="s">
        <v>149</v>
      </c>
      <c r="D6" s="53" t="s">
        <v>150</v>
      </c>
      <c r="E6" s="54" t="s">
        <v>147</v>
      </c>
      <c r="F6" s="53" t="s">
        <v>151</v>
      </c>
      <c r="G6" s="55" t="s">
        <v>152</v>
      </c>
      <c r="H6" s="54" t="s">
        <v>147</v>
      </c>
      <c r="I6" s="55" t="s">
        <v>152</v>
      </c>
      <c r="J6" s="54" t="s">
        <v>147</v>
      </c>
      <c r="M6" s="23">
        <v>1</v>
      </c>
      <c r="N6" s="23">
        <v>115</v>
      </c>
    </row>
    <row r="7" spans="1:14">
      <c r="A7" s="52" t="s">
        <v>153</v>
      </c>
      <c r="D7" s="53"/>
      <c r="G7" s="55" t="s">
        <v>154</v>
      </c>
      <c r="H7" s="54" t="s">
        <v>155</v>
      </c>
      <c r="I7" s="55" t="s">
        <v>154</v>
      </c>
      <c r="J7" s="54" t="s">
        <v>155</v>
      </c>
      <c r="M7" s="23">
        <v>2</v>
      </c>
      <c r="N7" s="23">
        <v>95</v>
      </c>
    </row>
    <row r="8" spans="1:14">
      <c r="A8" s="52" t="s">
        <v>156</v>
      </c>
      <c r="D8" s="53" t="s">
        <v>157</v>
      </c>
      <c r="G8" s="55"/>
      <c r="H8" s="54" t="s">
        <v>158</v>
      </c>
      <c r="I8" s="55"/>
      <c r="J8" s="54" t="s">
        <v>158</v>
      </c>
      <c r="M8" s="23">
        <v>3</v>
      </c>
      <c r="N8" s="23">
        <v>85</v>
      </c>
    </row>
    <row r="9" spans="1:14">
      <c r="D9" s="53" t="s">
        <v>48</v>
      </c>
      <c r="G9" s="55" t="s">
        <v>159</v>
      </c>
      <c r="H9" s="54" t="s">
        <v>160</v>
      </c>
      <c r="I9" s="55" t="s">
        <v>159</v>
      </c>
      <c r="J9" s="54" t="s">
        <v>160</v>
      </c>
      <c r="M9" s="23">
        <v>4</v>
      </c>
      <c r="N9" s="23">
        <v>80</v>
      </c>
    </row>
    <row r="10" spans="1:14">
      <c r="D10" s="53" t="s">
        <v>54</v>
      </c>
      <c r="G10" s="55" t="s">
        <v>161</v>
      </c>
      <c r="H10" s="54" t="s">
        <v>162</v>
      </c>
      <c r="I10" s="55" t="s">
        <v>161</v>
      </c>
      <c r="J10" s="54" t="s">
        <v>162</v>
      </c>
      <c r="M10" s="23">
        <v>5</v>
      </c>
      <c r="N10" s="23">
        <v>75</v>
      </c>
    </row>
    <row r="11" spans="1:14">
      <c r="D11" s="53" t="s">
        <v>55</v>
      </c>
      <c r="G11" s="55"/>
      <c r="I11" s="55"/>
      <c r="M11" s="23">
        <v>6</v>
      </c>
      <c r="N11" s="23">
        <v>70</v>
      </c>
    </row>
    <row r="12" spans="1:14">
      <c r="G12" s="56" t="s">
        <v>163</v>
      </c>
      <c r="I12" s="56" t="s">
        <v>163</v>
      </c>
      <c r="J12" s="62" t="s">
        <v>164</v>
      </c>
      <c r="M12" s="23">
        <v>7</v>
      </c>
      <c r="N12" s="23">
        <v>67</v>
      </c>
    </row>
    <row r="13" spans="1:14">
      <c r="G13" s="56" t="s">
        <v>165</v>
      </c>
      <c r="I13" s="56" t="s">
        <v>165</v>
      </c>
      <c r="J13" s="63" t="s">
        <v>166</v>
      </c>
      <c r="M13" s="23">
        <v>8</v>
      </c>
      <c r="N13" s="23">
        <v>64</v>
      </c>
    </row>
    <row r="14" spans="1:14">
      <c r="G14" s="56" t="s">
        <v>167</v>
      </c>
      <c r="I14" s="56" t="s">
        <v>167</v>
      </c>
      <c r="J14" s="63" t="s">
        <v>168</v>
      </c>
      <c r="M14" s="23">
        <v>9</v>
      </c>
      <c r="N14" s="23">
        <v>61</v>
      </c>
    </row>
    <row r="15" spans="1:14">
      <c r="G15" s="56" t="s">
        <v>169</v>
      </c>
      <c r="I15" s="56" t="s">
        <v>169</v>
      </c>
      <c r="M15" s="23">
        <v>10</v>
      </c>
      <c r="N15" s="23">
        <v>58</v>
      </c>
    </row>
    <row r="16" spans="1:14">
      <c r="M16" s="23">
        <v>11</v>
      </c>
      <c r="N16" s="23">
        <v>55</v>
      </c>
    </row>
    <row r="17" spans="9:14">
      <c r="I17" s="64" t="s">
        <v>170</v>
      </c>
      <c r="M17" s="23">
        <v>12</v>
      </c>
      <c r="N17" s="23">
        <v>52</v>
      </c>
    </row>
    <row r="18" spans="9:14">
      <c r="I18" s="64" t="s">
        <v>171</v>
      </c>
      <c r="M18" s="23">
        <v>13</v>
      </c>
      <c r="N18" s="23">
        <v>49</v>
      </c>
    </row>
    <row r="19" spans="9:14">
      <c r="I19" s="64" t="s">
        <v>172</v>
      </c>
      <c r="M19" s="23">
        <v>14</v>
      </c>
      <c r="N19" s="23">
        <v>47</v>
      </c>
    </row>
    <row r="20" spans="9:14">
      <c r="I20" s="64" t="s">
        <v>173</v>
      </c>
      <c r="M20" s="23">
        <v>15</v>
      </c>
      <c r="N20" s="23">
        <v>45</v>
      </c>
    </row>
    <row r="21" spans="9:14">
      <c r="I21" s="64" t="s">
        <v>174</v>
      </c>
      <c r="M21" s="23">
        <v>16</v>
      </c>
      <c r="N21" s="23">
        <v>43</v>
      </c>
    </row>
    <row r="22" spans="9:14">
      <c r="M22" s="23">
        <v>17</v>
      </c>
      <c r="N22" s="23">
        <v>41</v>
      </c>
    </row>
    <row r="23" spans="9:14">
      <c r="M23" s="23">
        <v>18</v>
      </c>
      <c r="N23" s="23">
        <v>39</v>
      </c>
    </row>
    <row r="24" spans="9:14">
      <c r="M24" s="23">
        <v>19</v>
      </c>
      <c r="N24" s="23">
        <v>37</v>
      </c>
    </row>
    <row r="25" spans="9:14">
      <c r="M25" s="23">
        <v>20</v>
      </c>
      <c r="N25" s="23">
        <v>35</v>
      </c>
    </row>
    <row r="26" spans="9:14">
      <c r="M26" s="23">
        <v>21</v>
      </c>
      <c r="N26" s="23">
        <v>33</v>
      </c>
    </row>
    <row r="27" spans="9:14">
      <c r="M27" s="23">
        <v>22</v>
      </c>
      <c r="N27" s="23">
        <v>31</v>
      </c>
    </row>
    <row r="28" spans="9:14">
      <c r="M28" s="23">
        <v>23</v>
      </c>
      <c r="N28" s="23">
        <v>29</v>
      </c>
    </row>
    <row r="29" spans="9:14">
      <c r="M29" s="23">
        <v>24</v>
      </c>
      <c r="N29" s="23">
        <v>27</v>
      </c>
    </row>
    <row r="30" spans="9:14">
      <c r="M30" s="23">
        <v>25</v>
      </c>
      <c r="N30" s="23">
        <v>25</v>
      </c>
    </row>
    <row r="31" spans="9:14">
      <c r="M31" s="23">
        <v>26</v>
      </c>
      <c r="N31" s="23">
        <v>23</v>
      </c>
    </row>
    <row r="32" spans="9:14">
      <c r="M32" s="23">
        <v>27</v>
      </c>
      <c r="N32" s="23">
        <v>21</v>
      </c>
    </row>
    <row r="33" spans="13:14">
      <c r="M33" s="23">
        <v>28</v>
      </c>
      <c r="N33" s="23">
        <v>19</v>
      </c>
    </row>
    <row r="34" spans="13:14">
      <c r="M34" s="23">
        <v>29</v>
      </c>
      <c r="N34" s="23">
        <v>17</v>
      </c>
    </row>
    <row r="35" spans="13:14">
      <c r="M35" s="23">
        <v>30</v>
      </c>
      <c r="N35" s="23">
        <v>15</v>
      </c>
    </row>
    <row r="36" spans="13:14">
      <c r="M36" s="23">
        <v>31</v>
      </c>
      <c r="N36" s="23">
        <v>13</v>
      </c>
    </row>
    <row r="37" spans="13:14">
      <c r="M37" s="23">
        <v>32</v>
      </c>
      <c r="N37" s="23">
        <v>12</v>
      </c>
    </row>
    <row r="38" spans="13:14">
      <c r="M38" s="23">
        <v>33</v>
      </c>
      <c r="N38" s="23">
        <v>11</v>
      </c>
    </row>
    <row r="39" spans="13:14">
      <c r="M39" s="23">
        <v>34</v>
      </c>
      <c r="N39" s="23">
        <v>10</v>
      </c>
    </row>
    <row r="40" spans="13:14">
      <c r="M40" s="23">
        <v>35</v>
      </c>
      <c r="N40" s="23">
        <v>9</v>
      </c>
    </row>
    <row r="41" spans="13:14">
      <c r="M41" s="23">
        <v>36</v>
      </c>
      <c r="N41" s="23">
        <v>8</v>
      </c>
    </row>
    <row r="42" spans="13:14">
      <c r="M42" s="23">
        <v>37</v>
      </c>
      <c r="N42" s="23">
        <v>7</v>
      </c>
    </row>
    <row r="43" spans="13:14">
      <c r="M43" s="23">
        <v>38</v>
      </c>
      <c r="N43" s="23">
        <v>6</v>
      </c>
    </row>
    <row r="44" spans="13:14">
      <c r="M44" s="23">
        <v>39</v>
      </c>
      <c r="N44" s="23">
        <v>5</v>
      </c>
    </row>
    <row r="45" spans="13:14">
      <c r="M45" s="23">
        <v>40</v>
      </c>
      <c r="N45" s="23">
        <v>4</v>
      </c>
    </row>
    <row r="46" spans="13:14">
      <c r="M46" s="23" t="s">
        <v>56</v>
      </c>
      <c r="N46" s="23">
        <v>4</v>
      </c>
    </row>
  </sheetData>
  <sheetProtection algorithmName="SHA-512" hashValue="e2DmPSkBVHqXhCsVJLanKJqqCeVuBddUaOjZ94rL0CdnLfy3k82rlyG2SNewIBbRi78sCl0hva/ylty/Hblm5Q==" saltValue="x17ZR2UAQ9aRotzFvP++gA==" spinCount="100000" sheet="1" objects="1" scenarios="1"/>
  <mergeCells count="1">
    <mergeCell ref="M1:N3"/>
  </mergeCells>
  <conditionalFormatting sqref="G2">
    <cfRule type="containsBlanks" dxfId="33" priority="1">
      <formula>LEN(TRIM(G2))=0</formula>
    </cfRule>
  </conditionalFormatting>
  <dataValidations count="1">
    <dataValidation type="list" allowBlank="1" showInputMessage="1" showErrorMessage="1" sqref="D2">
      <formula1>CATEGORIA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9"/>
  <sheetViews>
    <sheetView workbookViewId="0">
      <selection activeCell="J9" sqref="J9"/>
    </sheetView>
  </sheetViews>
  <sheetFormatPr defaultColWidth="16.7109375" defaultRowHeight="15"/>
  <sheetData>
    <row r="1" spans="1:20">
      <c r="A1" s="294" t="s">
        <v>175</v>
      </c>
      <c r="B1" s="295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>
      <c r="A2" s="296"/>
      <c r="B2" s="297"/>
      <c r="C2" s="1"/>
      <c r="D2" s="300" t="s">
        <v>176</v>
      </c>
      <c r="E2" s="301"/>
      <c r="F2" s="300" t="s">
        <v>177</v>
      </c>
      <c r="G2" s="301"/>
      <c r="H2" s="300" t="s">
        <v>178</v>
      </c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1"/>
    </row>
    <row r="3" spans="1:20">
      <c r="A3" s="298"/>
      <c r="B3" s="299"/>
      <c r="C3" s="1"/>
      <c r="D3" s="2" t="s">
        <v>179</v>
      </c>
      <c r="E3" s="3">
        <f>COUNTA(MASCHI[Nome Giocatore])</f>
        <v>3</v>
      </c>
      <c r="F3" s="2" t="s">
        <v>179</v>
      </c>
      <c r="G3" s="3" t="e">
        <f>(COUNTA(MASCHI[data1],MASCHI[data2],MASCHI[data3],MASCHI[data4],MASCHI[data5],MASCHI[data6],MASCHI[data7],MASCHI[data8],MASCHI[data9],MASCHI[data10],MASCHI[data11],MASCHI[data12],MASCHI[data13],MASCHI[[ DATA    ]]))/'CLASSIFICA MASCHILE vecchia'!T3</f>
        <v>#DIV/0!</v>
      </c>
      <c r="H3" s="4"/>
      <c r="I3" s="31">
        <v>2012</v>
      </c>
      <c r="J3" s="31">
        <v>2011</v>
      </c>
      <c r="K3" s="31">
        <v>2010</v>
      </c>
      <c r="L3" s="31">
        <v>2009</v>
      </c>
      <c r="M3" s="31">
        <v>2008</v>
      </c>
      <c r="N3" s="31">
        <v>2007</v>
      </c>
      <c r="O3" s="31">
        <v>2006</v>
      </c>
      <c r="P3" s="31">
        <v>2005</v>
      </c>
      <c r="Q3" s="31">
        <v>2004</v>
      </c>
      <c r="R3" s="31">
        <v>2003</v>
      </c>
      <c r="S3" s="31">
        <v>2002</v>
      </c>
      <c r="T3" s="37">
        <v>2001</v>
      </c>
    </row>
    <row r="4" spans="1:20" ht="15.75">
      <c r="A4" s="1"/>
      <c r="B4" s="1"/>
      <c r="C4" s="1"/>
      <c r="D4" s="2" t="s">
        <v>180</v>
      </c>
      <c r="E4" s="3">
        <f>COUNTA(FEMMINE[Nome Giocatore])</f>
        <v>3</v>
      </c>
      <c r="F4" s="2" t="s">
        <v>180</v>
      </c>
      <c r="G4" s="3" t="e">
        <f>(COUNTA(FEMMINE[data1],FEMMINE[data2],FEMMINE[data3],FEMMINE[data4],FEMMINE[data5],FEMMINE[data6],FEMMINE[data7],FEMMINE[data8],FEMMINE[data9],FEMMINE[data10],FEMMINE[data11],FEMMINE[data12],FEMMINE[data13],FEMMINE[[ DATA    ]]))/'CLASSIFICA FEMMINILE vecchia'!T3</f>
        <v>#DIV/0!</v>
      </c>
      <c r="H4" s="5" t="s">
        <v>181</v>
      </c>
      <c r="I4" s="10">
        <f>COUNTIF(MASCHI[Anno di nascita],'Statistiche per Responsabile'!I3)</f>
        <v>0</v>
      </c>
      <c r="J4" s="10">
        <f>COUNTIF(MASCHI[Qualifica 
(B-BG-BN)],'Statistiche per Responsabile'!J3)</f>
        <v>0</v>
      </c>
      <c r="K4" s="10">
        <f>COUNTIF(MASCHI[N° Gare],'Statistiche per Responsabile'!K3)</f>
        <v>0</v>
      </c>
      <c r="L4" s="10">
        <f>COUNTIF(MASCHI[Circolo di appartenenza],'Statistiche per Responsabile'!L3)</f>
        <v>0</v>
      </c>
      <c r="M4" s="10">
        <f>COUNTIF(MASCHI[data1],'Statistiche per Responsabile'!M3)</f>
        <v>0</v>
      </c>
      <c r="N4" s="10">
        <f>COUNTIF(MASCHI[data2],'Statistiche per Responsabile'!N3)</f>
        <v>0</v>
      </c>
      <c r="O4" s="10">
        <f>COUNTIF(MASCHI[data3],'Statistiche per Responsabile'!O3)</f>
        <v>0</v>
      </c>
      <c r="P4" s="10">
        <f>COUNTIF(MASCHI[data4],'Statistiche per Responsabile'!P3)</f>
        <v>0</v>
      </c>
      <c r="Q4" s="10">
        <f>COUNTIF(MASCHI[data5],'Statistiche per Responsabile'!Q3)</f>
        <v>0</v>
      </c>
      <c r="R4" s="10">
        <f>COUNTIF(MASCHI[data6],'Statistiche per Responsabile'!R3)</f>
        <v>0</v>
      </c>
      <c r="S4" s="10">
        <f>COUNTIF(MASCHI[data7],'Statistiche per Responsabile'!S3)</f>
        <v>0</v>
      </c>
      <c r="T4" s="38">
        <f>COUNTIF(MASCHI[data8],'Statistiche per Responsabile'!T3)</f>
        <v>0</v>
      </c>
    </row>
    <row r="5" spans="1:20" ht="15.75">
      <c r="A5" s="1"/>
      <c r="B5" s="1"/>
      <c r="C5" s="1"/>
      <c r="D5" s="6" t="s">
        <v>182</v>
      </c>
      <c r="E5" s="7">
        <f>E3+E4</f>
        <v>6</v>
      </c>
      <c r="F5" s="6" t="s">
        <v>182</v>
      </c>
      <c r="G5" s="7" t="e">
        <f>AVERAGE(G3:G4)</f>
        <v>#DIV/0!</v>
      </c>
      <c r="H5" s="8" t="s">
        <v>183</v>
      </c>
      <c r="I5" s="32">
        <f>COUNTIF(FEMMINE[Anno di nascita],'Statistiche per Responsabile'!I3)</f>
        <v>0</v>
      </c>
      <c r="J5" s="32">
        <f>COUNTIF(FEMMINE[Qualifica 
(B-BG-BN)],'Statistiche per Responsabile'!J3)</f>
        <v>0</v>
      </c>
      <c r="K5" s="32">
        <f>COUNTIF(FEMMINE[N° Gare],'Statistiche per Responsabile'!K3)</f>
        <v>0</v>
      </c>
      <c r="L5" s="32">
        <f>COUNTIF(FEMMINE[Circolo di appartenenza],'Statistiche per Responsabile'!L3)</f>
        <v>0</v>
      </c>
      <c r="M5" s="32">
        <f>COUNTIF(FEMMINE[data1],'Statistiche per Responsabile'!M3)</f>
        <v>0</v>
      </c>
      <c r="N5" s="32">
        <f>COUNTIF(FEMMINE[data2],'Statistiche per Responsabile'!N3)</f>
        <v>0</v>
      </c>
      <c r="O5" s="32">
        <f>COUNTIF(FEMMINE[data3],'Statistiche per Responsabile'!O3)</f>
        <v>0</v>
      </c>
      <c r="P5" s="32">
        <f>COUNTIF(FEMMINE[data4],'Statistiche per Responsabile'!P3)</f>
        <v>0</v>
      </c>
      <c r="Q5" s="32">
        <f>COUNTIF(FEMMINE[data5],'Statistiche per Responsabile'!Q3)</f>
        <v>0</v>
      </c>
      <c r="R5" s="32">
        <f>COUNTIF(FEMMINE[data6],'Statistiche per Responsabile'!R3)</f>
        <v>0</v>
      </c>
      <c r="S5" s="32">
        <f>COUNTIF(FEMMINE[data7],'Statistiche per Responsabile'!S3)</f>
        <v>0</v>
      </c>
      <c r="T5" s="39">
        <f>COUNTIF(FEMMINE[data8],'Statistiche per Responsabile'!T3)</f>
        <v>0</v>
      </c>
    </row>
    <row r="6" spans="1:20" ht="15.75">
      <c r="A6" s="1"/>
      <c r="B6" s="1"/>
      <c r="C6" s="1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0" ht="15.75">
      <c r="A7" s="1"/>
      <c r="B7" s="1"/>
      <c r="C7" s="1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20" ht="15.75">
      <c r="A8" s="1"/>
      <c r="B8" s="1"/>
      <c r="C8" s="1"/>
      <c r="D8" s="300" t="s">
        <v>184</v>
      </c>
      <c r="E8" s="302"/>
      <c r="F8" s="302"/>
      <c r="G8" s="302"/>
      <c r="H8" s="301"/>
      <c r="I8" s="300" t="s">
        <v>185</v>
      </c>
      <c r="J8" s="301"/>
      <c r="K8" s="10"/>
      <c r="L8" s="10"/>
      <c r="M8" s="10"/>
      <c r="N8" s="10"/>
      <c r="O8" s="10"/>
      <c r="P8" s="10"/>
      <c r="Q8" s="10"/>
    </row>
    <row r="9" spans="1:20" ht="15.75">
      <c r="A9" s="1"/>
      <c r="B9" s="1"/>
      <c r="C9" s="1"/>
      <c r="D9" s="11"/>
      <c r="E9" s="12" t="s">
        <v>186</v>
      </c>
      <c r="F9" s="12" t="s">
        <v>48</v>
      </c>
      <c r="G9" s="12" t="s">
        <v>54</v>
      </c>
      <c r="H9" s="3" t="s">
        <v>55</v>
      </c>
      <c r="I9" s="2" t="s">
        <v>179</v>
      </c>
      <c r="J9" s="33" t="e">
        <f>AVERAGE(MASCHI[Colonna16])</f>
        <v>#DIV/0!</v>
      </c>
      <c r="K9" s="34"/>
      <c r="L9" s="10"/>
      <c r="M9" s="10"/>
      <c r="N9" s="10"/>
      <c r="O9" s="10"/>
      <c r="P9" s="10"/>
      <c r="Q9" s="10"/>
    </row>
    <row r="10" spans="1:20">
      <c r="A10" s="1"/>
      <c r="B10" s="1"/>
      <c r="C10" s="1"/>
      <c r="D10" s="2" t="s">
        <v>179</v>
      </c>
      <c r="E10" s="13">
        <f>COUNTIFS(MASCHI[Qualifica 
(B-BG-BN)],"")-(COUNTIFS(MASCHI[Qualifica 
(B-BG-BN)],"",MASCHI[Nome Giocatore],""))</f>
        <v>3</v>
      </c>
      <c r="F10" s="14">
        <f>COUNTIF(MASCHI[Qualifica 
(B-BG-BN)],"B")</f>
        <v>0</v>
      </c>
      <c r="G10" s="14">
        <f>COUNTIF(MASCHI[Qualifica 
(B-BG-BN)],"BG")</f>
        <v>0</v>
      </c>
      <c r="H10" s="15">
        <f>COUNTIF(MASCHI[Qualifica 
(B-BG-BN)],"BN")</f>
        <v>0</v>
      </c>
      <c r="I10" s="2" t="s">
        <v>180</v>
      </c>
      <c r="J10" s="33" t="e">
        <f>AVERAGE(FEMMINE[Colonna16])</f>
        <v>#DIV/0!</v>
      </c>
      <c r="K10" s="1"/>
      <c r="L10" s="1"/>
      <c r="M10" s="1"/>
      <c r="N10" s="1"/>
      <c r="O10" s="1"/>
      <c r="P10" s="1"/>
      <c r="Q10" s="1"/>
    </row>
    <row r="11" spans="1:20">
      <c r="A11" s="1"/>
      <c r="B11" s="1"/>
      <c r="C11" s="1"/>
      <c r="D11" s="2" t="s">
        <v>180</v>
      </c>
      <c r="E11" s="13">
        <f>COUNTIFS(FEMMINE[Qualifica 
(B-BG-BN)],"")-(COUNTIFS(FEMMINE[Qualifica 
(B-BG-BN)],"",FEMMINE[Nome Giocatore],""))</f>
        <v>2</v>
      </c>
      <c r="F11" s="14">
        <f>COUNTIF(FEMMINE[Qualifica 
(B-BG-BN)],"B")</f>
        <v>1</v>
      </c>
      <c r="G11" s="14">
        <f>COUNTIF(FEMMINE[Qualifica 
(B-BG-BN)],"BG")</f>
        <v>0</v>
      </c>
      <c r="H11" s="15">
        <f>COUNTIF(FEMMINE[Qualifica 
(B-BG-BN)],"BN")</f>
        <v>0</v>
      </c>
      <c r="I11" s="6" t="s">
        <v>182</v>
      </c>
      <c r="J11" s="35" t="e">
        <f>AVERAGE(J9:J10)</f>
        <v>#DIV/0!</v>
      </c>
      <c r="K11" s="36"/>
      <c r="L11" s="36"/>
      <c r="M11" s="36"/>
      <c r="N11" s="36"/>
      <c r="O11" s="36"/>
      <c r="P11" s="36"/>
      <c r="Q11" s="36"/>
    </row>
    <row r="12" spans="1:20">
      <c r="A12" s="1"/>
      <c r="B12" s="1"/>
      <c r="C12" s="1"/>
      <c r="D12" s="6" t="s">
        <v>182</v>
      </c>
      <c r="E12" s="16">
        <f>E10+E11</f>
        <v>5</v>
      </c>
      <c r="F12" s="16">
        <f>F10+F11</f>
        <v>1</v>
      </c>
      <c r="G12" s="16">
        <f>G10+G11</f>
        <v>0</v>
      </c>
      <c r="H12" s="7">
        <f>H10+H11</f>
        <v>0</v>
      </c>
      <c r="I12" s="36"/>
      <c r="J12" s="36"/>
      <c r="K12" s="36"/>
      <c r="L12" s="36"/>
      <c r="M12" s="36"/>
      <c r="N12" s="36"/>
      <c r="O12" s="36"/>
      <c r="P12" s="36"/>
      <c r="Q12" s="36"/>
    </row>
    <row r="13" spans="1:20" ht="15.75">
      <c r="A13" s="1"/>
      <c r="B13" s="1"/>
      <c r="C13" s="1"/>
      <c r="D13" s="9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20">
      <c r="A14" s="1"/>
      <c r="B14" s="1"/>
      <c r="C14" s="1"/>
      <c r="D14" s="9"/>
      <c r="E14" s="1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0">
      <c r="A15" s="19"/>
      <c r="B15" s="1"/>
      <c r="C15" s="1"/>
      <c r="D15" s="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0">
      <c r="A16" s="20"/>
      <c r="B16" s="1"/>
      <c r="C16" s="21"/>
      <c r="D16" s="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22"/>
      <c r="B17" s="23"/>
      <c r="C17" s="24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22"/>
      <c r="B18" s="25"/>
      <c r="C18" s="24"/>
      <c r="D18" s="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26"/>
      <c r="B19" s="27"/>
      <c r="C19" s="24"/>
      <c r="D19" s="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>
      <c r="B20" s="28"/>
      <c r="C20" s="29"/>
      <c r="D20" s="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1"/>
      <c r="B21" s="1"/>
      <c r="C21" s="1"/>
      <c r="D21" s="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20"/>
      <c r="B22" s="1"/>
      <c r="C22" s="30"/>
      <c r="D22" s="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22"/>
      <c r="B23" s="25"/>
      <c r="C23" s="24"/>
      <c r="D23" s="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22"/>
      <c r="B24" s="25"/>
      <c r="C24" s="24"/>
      <c r="D24" s="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26"/>
      <c r="B25" s="27"/>
      <c r="C25" s="24"/>
      <c r="D25" s="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>
      <c r="B26" s="28"/>
      <c r="C26" s="29"/>
      <c r="D26" s="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"/>
      <c r="B27" s="1"/>
      <c r="C27" s="1"/>
      <c r="D27" s="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"/>
      <c r="B28" s="1"/>
      <c r="C28" s="1"/>
      <c r="D28" s="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D29" s="9"/>
    </row>
  </sheetData>
  <sheetProtection algorithmName="SHA-512" hashValue="bLBLRfK4OBLsRgzTTAxeAG+4Qmq3fjx+QJoXM+QFoGIpnNhbhXyRGcEGwoIwrWnR2TEO9/8RqbA4dQscG5Vdlw==" saltValue="CqZZzHP27Qrj0BboBBDhZQ==" spinCount="100000" sheet="1" objects="1" scenarios="1"/>
  <mergeCells count="6">
    <mergeCell ref="A1:B3"/>
    <mergeCell ref="D2:E2"/>
    <mergeCell ref="F2:G2"/>
    <mergeCell ref="H2:T2"/>
    <mergeCell ref="D8:H8"/>
    <mergeCell ref="I8:J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CLASSIFICA MASCHILE vecchia</vt:lpstr>
      <vt:lpstr>CLASSIFICA FEMMINILE vecchia</vt:lpstr>
      <vt:lpstr>SISTEMA</vt:lpstr>
      <vt:lpstr>CLASSIFICA MASCHILE</vt:lpstr>
      <vt:lpstr>CLASSIFICA FEMMINILE</vt:lpstr>
      <vt:lpstr>Istruzioni</vt:lpstr>
      <vt:lpstr>Statistiche per Responsabile</vt:lpstr>
      <vt:lpstr>'CLASSIFICA MASCHILE'!Area_stampa</vt:lpstr>
      <vt:lpstr>'CLASSIFICA MASCHILE vecchia'!Area_stampa</vt:lpstr>
      <vt:lpstr>CATEGORIA</vt:lpstr>
      <vt:lpstr>'CLASSIFICA MASCHILE'!Titoli_stampa</vt:lpstr>
      <vt:lpstr>'CLASSIFICA MASCHILE vecchia'!Titoli_stampa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Patrizia</cp:lastModifiedBy>
  <cp:lastPrinted>2019-07-15T08:05:00Z</cp:lastPrinted>
  <dcterms:created xsi:type="dcterms:W3CDTF">2012-03-12T11:14:00Z</dcterms:created>
  <dcterms:modified xsi:type="dcterms:W3CDTF">2024-09-11T07:53:58Z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E1B48EE2B6DC47CAB13EB9F878B2BF76_12</vt:lpwstr>
  </property>
  <property fmtid="{D5CDD505-2E9C-101B-9397-08002B2CF9AE}" pid="3" name="KSOProductBuildVer">
    <vt:lpwstr>1033-12.2.0.16731</vt:lpwstr>
  </property>
</Properties>
</file>